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_EDITAIS_CONCORRENCIAS\ORÇAMENTO\2020\MANUTENÇÃO\12.02 - PE 10-2020 MINIST. ECONOMIA\ORÇAMENTO\DILIGÊNCIAS\DILIGÊNCIA 15.06\"/>
    </mc:Choice>
  </mc:AlternateContent>
  <xr:revisionPtr revIDLastSave="0" documentId="13_ncr:1_{60A0E638-B7EF-4057-BF56-C02595364452}" xr6:coauthVersionLast="47" xr6:coauthVersionMax="47" xr10:uidLastSave="{00000000-0000-0000-0000-000000000000}"/>
  <bookViews>
    <workbookView xWindow="-28920" yWindow="-120" windowWidth="29040" windowHeight="15840" tabRatio="914" xr2:uid="{3D62BAEF-A2FE-9141-86B1-8A7AD0943775}"/>
  </bookViews>
  <sheets>
    <sheet name="Lote 15" sheetId="1" r:id="rId1"/>
    <sheet name="Total Lote 15" sheetId="28" r:id="rId2"/>
  </sheets>
  <definedNames>
    <definedName name="_xlnm._FilterDatabase" localSheetId="1" hidden="1">'Total Lote 15'!$B$5:$AB$9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50" i="1" l="1"/>
  <c r="V49" i="1"/>
  <c r="S50" i="1"/>
  <c r="S49" i="1"/>
  <c r="P50" i="1"/>
  <c r="P49" i="1"/>
  <c r="M50" i="1"/>
  <c r="M49" i="1"/>
  <c r="J50" i="1"/>
  <c r="J49" i="1"/>
  <c r="G50" i="1"/>
  <c r="G49" i="1"/>
  <c r="H82" i="1"/>
  <c r="I82" i="1" s="1"/>
  <c r="J82" i="1" s="1"/>
  <c r="C41" i="1"/>
  <c r="Q88" i="1"/>
  <c r="N88" i="1"/>
  <c r="K88" i="1"/>
  <c r="L88" i="1" s="1"/>
  <c r="H88" i="1"/>
  <c r="F85" i="1"/>
  <c r="H85" i="1" s="1"/>
  <c r="H74" i="1"/>
  <c r="H76" i="1" s="1"/>
  <c r="H77" i="1"/>
  <c r="I77" i="1" s="1"/>
  <c r="H78" i="1"/>
  <c r="H79" i="1"/>
  <c r="H80" i="1"/>
  <c r="H81" i="1"/>
  <c r="I81" i="1" s="1"/>
  <c r="J81" i="1" s="1"/>
  <c r="H90" i="1"/>
  <c r="H91" i="1" s="1"/>
  <c r="I91" i="1" s="1"/>
  <c r="H94" i="1"/>
  <c r="H98" i="1"/>
  <c r="I98" i="1" s="1"/>
  <c r="J98" i="1" s="1"/>
  <c r="H100" i="1"/>
  <c r="H102" i="1" s="1"/>
  <c r="I102" i="1" s="1"/>
  <c r="H101" i="1"/>
  <c r="H103" i="1"/>
  <c r="I103" i="1" s="1"/>
  <c r="J103" i="1" s="1"/>
  <c r="H104" i="1"/>
  <c r="H105" i="1"/>
  <c r="H107" i="1"/>
  <c r="H108" i="1"/>
  <c r="H110" i="1"/>
  <c r="H112" i="1"/>
  <c r="H113" i="1"/>
  <c r="I113" i="1" s="1"/>
  <c r="J113" i="1" s="1"/>
  <c r="H123" i="1"/>
  <c r="H124" i="1"/>
  <c r="H125" i="1"/>
  <c r="H133" i="1" s="1"/>
  <c r="I133" i="1" s="1"/>
  <c r="J133" i="1" s="1"/>
  <c r="D49" i="1"/>
  <c r="K85" i="1"/>
  <c r="N74" i="1"/>
  <c r="N78" i="1"/>
  <c r="O78" i="1" s="1"/>
  <c r="P78" i="1" s="1"/>
  <c r="N90" i="1"/>
  <c r="N92" i="1" s="1"/>
  <c r="N95" i="1"/>
  <c r="O95" i="1" s="1"/>
  <c r="P95" i="1" s="1"/>
  <c r="N96" i="1"/>
  <c r="N100" i="1"/>
  <c r="N103" i="1" s="1"/>
  <c r="O103" i="1" s="1"/>
  <c r="P103" i="1" s="1"/>
  <c r="N108" i="1"/>
  <c r="O108" i="1" s="1"/>
  <c r="P108" i="1" s="1"/>
  <c r="N110" i="1"/>
  <c r="N112" i="1"/>
  <c r="N113" i="1"/>
  <c r="N85" i="1"/>
  <c r="O85" i="1" s="1"/>
  <c r="P85" i="1" s="1"/>
  <c r="N123" i="1"/>
  <c r="N124" i="1"/>
  <c r="N125" i="1"/>
  <c r="N131" i="1"/>
  <c r="O131" i="1" s="1"/>
  <c r="P131" i="1" s="1"/>
  <c r="Q85" i="1"/>
  <c r="D50" i="1"/>
  <c r="K74" i="1"/>
  <c r="K75" i="1" s="1"/>
  <c r="L75" i="1" s="1"/>
  <c r="M75" i="1" s="1"/>
  <c r="K78" i="1"/>
  <c r="K82" i="1"/>
  <c r="L82" i="1" s="1"/>
  <c r="M82" i="1" s="1"/>
  <c r="K84" i="1"/>
  <c r="K86" i="1"/>
  <c r="K87" i="1"/>
  <c r="K90" i="1"/>
  <c r="K93" i="1" s="1"/>
  <c r="L93" i="1" s="1"/>
  <c r="K100" i="1"/>
  <c r="K101" i="1" s="1"/>
  <c r="L101" i="1" s="1"/>
  <c r="K104" i="1"/>
  <c r="L104" i="1" s="1"/>
  <c r="M104" i="1" s="1"/>
  <c r="K108" i="1"/>
  <c r="L108" i="1" s="1"/>
  <c r="M108" i="1" s="1"/>
  <c r="K110" i="1"/>
  <c r="K112" i="1"/>
  <c r="L112" i="1" s="1"/>
  <c r="K113" i="1"/>
  <c r="K123" i="1"/>
  <c r="K127" i="1" s="1"/>
  <c r="L127" i="1" s="1"/>
  <c r="M127" i="1" s="1"/>
  <c r="K124" i="1"/>
  <c r="K125" i="1"/>
  <c r="L125" i="1" s="1"/>
  <c r="M125" i="1" s="1"/>
  <c r="K136" i="1"/>
  <c r="K137" i="1" s="1"/>
  <c r="L137" i="1" s="1"/>
  <c r="M137" i="1" s="1"/>
  <c r="Z74" i="1"/>
  <c r="Z76" i="1" s="1"/>
  <c r="AA76" i="1" s="1"/>
  <c r="AB76" i="1" s="1"/>
  <c r="Z90" i="1"/>
  <c r="Z91" i="1" s="1"/>
  <c r="Z100" i="1"/>
  <c r="Z101" i="1" s="1"/>
  <c r="Z110" i="1"/>
  <c r="Z112" i="1"/>
  <c r="Z118" i="1" s="1"/>
  <c r="AA118" i="1" s="1"/>
  <c r="AB118" i="1" s="1"/>
  <c r="Z113" i="1"/>
  <c r="Z123" i="1"/>
  <c r="Z126" i="1" s="1"/>
  <c r="Z125" i="1"/>
  <c r="W74" i="1"/>
  <c r="X74" i="1" s="1"/>
  <c r="Y74" i="1" s="1"/>
  <c r="W90" i="1"/>
  <c r="W91" i="1" s="1"/>
  <c r="W100" i="1"/>
  <c r="W101" i="1" s="1"/>
  <c r="W110" i="1"/>
  <c r="W112" i="1"/>
  <c r="W117" i="1" s="1"/>
  <c r="X117" i="1" s="1"/>
  <c r="Y117" i="1" s="1"/>
  <c r="W113" i="1"/>
  <c r="W123" i="1"/>
  <c r="W125" i="1"/>
  <c r="W126" i="1"/>
  <c r="X126" i="1" s="1"/>
  <c r="Y126" i="1" s="1"/>
  <c r="T74" i="1"/>
  <c r="T75" i="1" s="1"/>
  <c r="T90" i="1"/>
  <c r="T91" i="1" s="1"/>
  <c r="T100" i="1"/>
  <c r="T101" i="1" s="1"/>
  <c r="T110" i="1"/>
  <c r="T116" i="1" s="1"/>
  <c r="U116" i="1" s="1"/>
  <c r="V116" i="1" s="1"/>
  <c r="T112" i="1"/>
  <c r="T113" i="1"/>
  <c r="T123" i="1"/>
  <c r="T125" i="1"/>
  <c r="T128" i="1" s="1"/>
  <c r="U128" i="1" s="1"/>
  <c r="V128" i="1" s="1"/>
  <c r="Q74" i="1"/>
  <c r="Q75" i="1" s="1"/>
  <c r="Q90" i="1"/>
  <c r="Q91" i="1" s="1"/>
  <c r="Q100" i="1"/>
  <c r="Q101" i="1" s="1"/>
  <c r="Q110" i="1"/>
  <c r="Q115" i="1" s="1"/>
  <c r="R115" i="1" s="1"/>
  <c r="S115" i="1" s="1"/>
  <c r="Q112" i="1"/>
  <c r="Q113" i="1"/>
  <c r="Q123" i="1"/>
  <c r="Q125" i="1"/>
  <c r="Q127" i="1" s="1"/>
  <c r="R127" i="1" s="1"/>
  <c r="S127" i="1" s="1"/>
  <c r="Z84" i="1"/>
  <c r="Z85" i="1"/>
  <c r="Z86" i="1"/>
  <c r="AA86" i="1" s="1"/>
  <c r="AB86" i="1" s="1"/>
  <c r="Z87" i="1"/>
  <c r="Z88" i="1"/>
  <c r="W84" i="1"/>
  <c r="W85" i="1"/>
  <c r="W86" i="1"/>
  <c r="X86" i="1" s="1"/>
  <c r="Y86" i="1" s="1"/>
  <c r="W87" i="1"/>
  <c r="W88" i="1"/>
  <c r="T84" i="1"/>
  <c r="U84" i="1" s="1"/>
  <c r="V84" i="1" s="1"/>
  <c r="T85" i="1"/>
  <c r="U85" i="1" s="1"/>
  <c r="V85" i="1" s="1"/>
  <c r="T86" i="1"/>
  <c r="U86" i="1" s="1"/>
  <c r="V86" i="1" s="1"/>
  <c r="T87" i="1"/>
  <c r="U87" i="1" s="1"/>
  <c r="V87" i="1" s="1"/>
  <c r="T88" i="1"/>
  <c r="Q84" i="1"/>
  <c r="R84" i="1" s="1"/>
  <c r="S84" i="1" s="1"/>
  <c r="Q86" i="1"/>
  <c r="Q87" i="1"/>
  <c r="N84" i="1"/>
  <c r="O84" i="1" s="1"/>
  <c r="P84" i="1" s="1"/>
  <c r="N86" i="1"/>
  <c r="O86" i="1" s="1"/>
  <c r="P86" i="1" s="1"/>
  <c r="N87" i="1"/>
  <c r="O87" i="1" s="1"/>
  <c r="P87" i="1" s="1"/>
  <c r="H84" i="1"/>
  <c r="H86" i="1"/>
  <c r="H87" i="1"/>
  <c r="Z124" i="1"/>
  <c r="AA124" i="1" s="1"/>
  <c r="Z127" i="1"/>
  <c r="Z128" i="1"/>
  <c r="Z129" i="1"/>
  <c r="Z130" i="1"/>
  <c r="AA130" i="1" s="1"/>
  <c r="AB130" i="1" s="1"/>
  <c r="Z131" i="1"/>
  <c r="Z132" i="1"/>
  <c r="AA132" i="1" s="1"/>
  <c r="AB132" i="1" s="1"/>
  <c r="Z133" i="1"/>
  <c r="Z92" i="1"/>
  <c r="AA92" i="1" s="1"/>
  <c r="AB92" i="1" s="1"/>
  <c r="Z93" i="1"/>
  <c r="Z94" i="1"/>
  <c r="Z95" i="1"/>
  <c r="Z96" i="1"/>
  <c r="Z97" i="1"/>
  <c r="Z102" i="1"/>
  <c r="Z103" i="1"/>
  <c r="Z104" i="1"/>
  <c r="AA104" i="1" s="1"/>
  <c r="AB104" i="1" s="1"/>
  <c r="Z105" i="1"/>
  <c r="Z106" i="1"/>
  <c r="Z107" i="1"/>
  <c r="Z108" i="1"/>
  <c r="AA108" i="1" s="1"/>
  <c r="AB108" i="1" s="1"/>
  <c r="Z136" i="1"/>
  <c r="Z137" i="1" s="1"/>
  <c r="AA137" i="1" s="1"/>
  <c r="AB137" i="1" s="1"/>
  <c r="W124" i="1"/>
  <c r="W127" i="1"/>
  <c r="W128" i="1"/>
  <c r="W129" i="1"/>
  <c r="X129" i="1" s="1"/>
  <c r="Y129" i="1" s="1"/>
  <c r="W130" i="1"/>
  <c r="X130" i="1" s="1"/>
  <c r="Y130" i="1" s="1"/>
  <c r="W131" i="1"/>
  <c r="W132" i="1"/>
  <c r="W92" i="1"/>
  <c r="X92" i="1" s="1"/>
  <c r="Y92" i="1" s="1"/>
  <c r="W93" i="1"/>
  <c r="W94" i="1"/>
  <c r="W95" i="1"/>
  <c r="W96" i="1"/>
  <c r="X96" i="1" s="1"/>
  <c r="Y96" i="1" s="1"/>
  <c r="W97" i="1"/>
  <c r="W98" i="1"/>
  <c r="W102" i="1"/>
  <c r="W103" i="1"/>
  <c r="X103" i="1" s="1"/>
  <c r="Y103" i="1" s="1"/>
  <c r="W104" i="1"/>
  <c r="W105" i="1"/>
  <c r="W106" i="1"/>
  <c r="W107" i="1"/>
  <c r="W108" i="1"/>
  <c r="X108" i="1" s="1"/>
  <c r="Y108" i="1" s="1"/>
  <c r="W136" i="1"/>
  <c r="W137" i="1" s="1"/>
  <c r="X137" i="1" s="1"/>
  <c r="Y137" i="1" s="1"/>
  <c r="T120" i="1"/>
  <c r="U120" i="1" s="1"/>
  <c r="V120" i="1" s="1"/>
  <c r="T124" i="1"/>
  <c r="T76" i="1"/>
  <c r="U76" i="1" s="1"/>
  <c r="V76" i="1" s="1"/>
  <c r="T77" i="1"/>
  <c r="T78" i="1"/>
  <c r="T79" i="1"/>
  <c r="T80" i="1"/>
  <c r="U80" i="1" s="1"/>
  <c r="V80" i="1" s="1"/>
  <c r="T81" i="1"/>
  <c r="T82" i="1"/>
  <c r="T92" i="1"/>
  <c r="T93" i="1"/>
  <c r="U93" i="1" s="1"/>
  <c r="V93" i="1" s="1"/>
  <c r="T94" i="1"/>
  <c r="T95" i="1"/>
  <c r="T96" i="1"/>
  <c r="T97" i="1"/>
  <c r="U97" i="1" s="1"/>
  <c r="V97" i="1" s="1"/>
  <c r="T98" i="1"/>
  <c r="U98" i="1" s="1"/>
  <c r="V98" i="1" s="1"/>
  <c r="T102" i="1"/>
  <c r="T103" i="1"/>
  <c r="T104" i="1"/>
  <c r="U104" i="1" s="1"/>
  <c r="V104" i="1" s="1"/>
  <c r="T105" i="1"/>
  <c r="T106" i="1"/>
  <c r="T107" i="1"/>
  <c r="T108" i="1"/>
  <c r="U108" i="1" s="1"/>
  <c r="V108" i="1" s="1"/>
  <c r="T136" i="1"/>
  <c r="T137" i="1" s="1"/>
  <c r="U137" i="1" s="1"/>
  <c r="V137" i="1" s="1"/>
  <c r="Q124" i="1"/>
  <c r="Q76" i="1"/>
  <c r="Q77" i="1"/>
  <c r="R77" i="1" s="1"/>
  <c r="S77" i="1" s="1"/>
  <c r="Q78" i="1"/>
  <c r="Q79" i="1"/>
  <c r="Q80" i="1"/>
  <c r="Q81" i="1"/>
  <c r="Q82" i="1"/>
  <c r="R82" i="1" s="1"/>
  <c r="S82" i="1" s="1"/>
  <c r="Q92" i="1"/>
  <c r="Q93" i="1"/>
  <c r="Q94" i="1"/>
  <c r="Q95" i="1"/>
  <c r="Q96" i="1"/>
  <c r="Q97" i="1"/>
  <c r="Q98" i="1"/>
  <c r="R98" i="1" s="1"/>
  <c r="S98" i="1" s="1"/>
  <c r="Q102" i="1"/>
  <c r="Q103" i="1"/>
  <c r="Q104" i="1"/>
  <c r="Q105" i="1"/>
  <c r="Q106" i="1"/>
  <c r="Q107" i="1"/>
  <c r="Q136" i="1"/>
  <c r="N136" i="1"/>
  <c r="N137" i="1" s="1"/>
  <c r="O137" i="1" s="1"/>
  <c r="P137" i="1" s="1"/>
  <c r="H136" i="1"/>
  <c r="H137" i="1" s="1"/>
  <c r="I137" i="1" s="1"/>
  <c r="J137" i="1" s="1"/>
  <c r="P8" i="28"/>
  <c r="P9" i="28" s="1"/>
  <c r="D8" i="28"/>
  <c r="D9" i="28" s="1"/>
  <c r="V8" i="28"/>
  <c r="V9" i="28" s="1"/>
  <c r="S8" i="28"/>
  <c r="S9" i="28" s="1"/>
  <c r="M8" i="28"/>
  <c r="M9" i="28" s="1"/>
  <c r="J8" i="28"/>
  <c r="J9" i="28" s="1"/>
  <c r="G8" i="28"/>
  <c r="G9" i="28" s="1"/>
  <c r="AC71" i="1"/>
  <c r="L136" i="1"/>
  <c r="M136" i="1" s="1"/>
  <c r="U136" i="1"/>
  <c r="V136" i="1" s="1"/>
  <c r="X136" i="1"/>
  <c r="Y136" i="1" s="1"/>
  <c r="AA136" i="1"/>
  <c r="AB136" i="1" s="1"/>
  <c r="AA133" i="1"/>
  <c r="AB133" i="1" s="1"/>
  <c r="X132" i="1"/>
  <c r="Y132" i="1" s="1"/>
  <c r="X131" i="1"/>
  <c r="Y131" i="1" s="1"/>
  <c r="AA131" i="1"/>
  <c r="AB131" i="1" s="1"/>
  <c r="AA129" i="1"/>
  <c r="AB129" i="1" s="1"/>
  <c r="X128" i="1"/>
  <c r="Y128" i="1"/>
  <c r="AA128" i="1"/>
  <c r="AB128" i="1" s="1"/>
  <c r="X127" i="1"/>
  <c r="Y127" i="1" s="1"/>
  <c r="AA127" i="1"/>
  <c r="AB127" i="1" s="1"/>
  <c r="I125" i="1"/>
  <c r="J125" i="1" s="1"/>
  <c r="O125" i="1"/>
  <c r="P125" i="1" s="1"/>
  <c r="X125" i="1"/>
  <c r="Y125" i="1" s="1"/>
  <c r="AA125" i="1"/>
  <c r="AB125" i="1" s="1"/>
  <c r="I124" i="1"/>
  <c r="J124" i="1"/>
  <c r="L124" i="1"/>
  <c r="M124" i="1" s="1"/>
  <c r="O124" i="1"/>
  <c r="P124" i="1"/>
  <c r="R124" i="1"/>
  <c r="S124" i="1" s="1"/>
  <c r="U124" i="1"/>
  <c r="V124" i="1"/>
  <c r="X124" i="1"/>
  <c r="Y124" i="1" s="1"/>
  <c r="AB124" i="1"/>
  <c r="L123" i="1"/>
  <c r="M123" i="1" s="1"/>
  <c r="O123" i="1"/>
  <c r="P123" i="1" s="1"/>
  <c r="R123" i="1"/>
  <c r="S123" i="1" s="1"/>
  <c r="U123" i="1"/>
  <c r="V123" i="1" s="1"/>
  <c r="X123" i="1"/>
  <c r="Y123" i="1" s="1"/>
  <c r="AA123" i="1"/>
  <c r="AB123" i="1" s="1"/>
  <c r="L113" i="1"/>
  <c r="M113" i="1" s="1"/>
  <c r="O113" i="1"/>
  <c r="P113" i="1"/>
  <c r="R113" i="1"/>
  <c r="S113" i="1" s="1"/>
  <c r="U113" i="1"/>
  <c r="V113" i="1" s="1"/>
  <c r="X113" i="1"/>
  <c r="Y113" i="1" s="1"/>
  <c r="AA113" i="1"/>
  <c r="AB113" i="1" s="1"/>
  <c r="I112" i="1"/>
  <c r="J112" i="1" s="1"/>
  <c r="O112" i="1"/>
  <c r="P112" i="1" s="1"/>
  <c r="R112" i="1"/>
  <c r="S112" i="1" s="1"/>
  <c r="U112" i="1"/>
  <c r="V112" i="1" s="1"/>
  <c r="X112" i="1"/>
  <c r="Y112" i="1" s="1"/>
  <c r="I110" i="1"/>
  <c r="J110" i="1" s="1"/>
  <c r="L110" i="1"/>
  <c r="M110" i="1" s="1"/>
  <c r="O110" i="1"/>
  <c r="P110" i="1" s="1"/>
  <c r="X110" i="1"/>
  <c r="Y110" i="1" s="1"/>
  <c r="AA110" i="1"/>
  <c r="AB110" i="1" s="1"/>
  <c r="I108" i="1"/>
  <c r="J108" i="1" s="1"/>
  <c r="I107" i="1"/>
  <c r="J107" i="1" s="1"/>
  <c r="R107" i="1"/>
  <c r="S107" i="1" s="1"/>
  <c r="U107" i="1"/>
  <c r="V107" i="1" s="1"/>
  <c r="X107" i="1"/>
  <c r="Y107" i="1" s="1"/>
  <c r="AA107" i="1"/>
  <c r="AB107" i="1" s="1"/>
  <c r="R106" i="1"/>
  <c r="S106" i="1" s="1"/>
  <c r="U106" i="1"/>
  <c r="V106" i="1" s="1"/>
  <c r="X106" i="1"/>
  <c r="Y106" i="1" s="1"/>
  <c r="AA106" i="1"/>
  <c r="AB106" i="1" s="1"/>
  <c r="I105" i="1"/>
  <c r="J105" i="1"/>
  <c r="R105" i="1"/>
  <c r="S105" i="1" s="1"/>
  <c r="U105" i="1"/>
  <c r="V105" i="1" s="1"/>
  <c r="X105" i="1"/>
  <c r="Y105" i="1" s="1"/>
  <c r="AA105" i="1"/>
  <c r="AB105" i="1"/>
  <c r="I104" i="1"/>
  <c r="J104" i="1" s="1"/>
  <c r="R104" i="1"/>
  <c r="S104" i="1" s="1"/>
  <c r="X104" i="1"/>
  <c r="Y104" i="1" s="1"/>
  <c r="R103" i="1"/>
  <c r="S103" i="1" s="1"/>
  <c r="U103" i="1"/>
  <c r="V103" i="1" s="1"/>
  <c r="AA103" i="1"/>
  <c r="AB103" i="1" s="1"/>
  <c r="R102" i="1"/>
  <c r="S102" i="1" s="1"/>
  <c r="U102" i="1"/>
  <c r="V102" i="1" s="1"/>
  <c r="X102" i="1"/>
  <c r="Y102" i="1"/>
  <c r="AA102" i="1"/>
  <c r="AB102" i="1" s="1"/>
  <c r="I101" i="1"/>
  <c r="J101" i="1" s="1"/>
  <c r="R101" i="1"/>
  <c r="S101" i="1" s="1"/>
  <c r="U101" i="1"/>
  <c r="V101" i="1" s="1"/>
  <c r="AA101" i="1"/>
  <c r="AB101" i="1"/>
  <c r="I100" i="1"/>
  <c r="J100" i="1" s="1"/>
  <c r="L100" i="1"/>
  <c r="M100" i="1" s="1"/>
  <c r="R100" i="1"/>
  <c r="S100" i="1" s="1"/>
  <c r="U100" i="1"/>
  <c r="V100" i="1" s="1"/>
  <c r="X100" i="1"/>
  <c r="Y100" i="1" s="1"/>
  <c r="AA100" i="1"/>
  <c r="AB100" i="1" s="1"/>
  <c r="X98" i="1"/>
  <c r="Y98" i="1" s="1"/>
  <c r="R97" i="1"/>
  <c r="S97" i="1" s="1"/>
  <c r="X97" i="1"/>
  <c r="Y97" i="1" s="1"/>
  <c r="AA97" i="1"/>
  <c r="AB97" i="1" s="1"/>
  <c r="O96" i="1"/>
  <c r="P96" i="1" s="1"/>
  <c r="R96" i="1"/>
  <c r="S96" i="1" s="1"/>
  <c r="U96" i="1"/>
  <c r="V96" i="1" s="1"/>
  <c r="AA96" i="1"/>
  <c r="AB96" i="1" s="1"/>
  <c r="R95" i="1"/>
  <c r="S95" i="1" s="1"/>
  <c r="U95" i="1"/>
  <c r="V95" i="1" s="1"/>
  <c r="X95" i="1"/>
  <c r="Y95" i="1" s="1"/>
  <c r="AA95" i="1"/>
  <c r="AB95" i="1" s="1"/>
  <c r="I94" i="1"/>
  <c r="J94" i="1" s="1"/>
  <c r="R94" i="1"/>
  <c r="S94" i="1" s="1"/>
  <c r="U94" i="1"/>
  <c r="V94" i="1" s="1"/>
  <c r="X94" i="1"/>
  <c r="Y94" i="1"/>
  <c r="AA94" i="1"/>
  <c r="AB94" i="1" s="1"/>
  <c r="R93" i="1"/>
  <c r="S93" i="1" s="1"/>
  <c r="X93" i="1"/>
  <c r="Y93" i="1" s="1"/>
  <c r="AA93" i="1"/>
  <c r="AB93" i="1" s="1"/>
  <c r="R92" i="1"/>
  <c r="S92" i="1" s="1"/>
  <c r="U92" i="1"/>
  <c r="V92" i="1"/>
  <c r="R91" i="1"/>
  <c r="S91" i="1" s="1"/>
  <c r="X91" i="1"/>
  <c r="Y91" i="1" s="1"/>
  <c r="I90" i="1"/>
  <c r="J90" i="1" s="1"/>
  <c r="O90" i="1"/>
  <c r="P90" i="1" s="1"/>
  <c r="R90" i="1"/>
  <c r="S90" i="1" s="1"/>
  <c r="U90" i="1"/>
  <c r="V90" i="1" s="1"/>
  <c r="X90" i="1"/>
  <c r="Y90" i="1"/>
  <c r="AA90" i="1"/>
  <c r="AB90" i="1" s="1"/>
  <c r="I88" i="1"/>
  <c r="J88" i="1" s="1"/>
  <c r="O88" i="1"/>
  <c r="P88" i="1" s="1"/>
  <c r="R88" i="1"/>
  <c r="S88" i="1" s="1"/>
  <c r="U88" i="1"/>
  <c r="V88" i="1" s="1"/>
  <c r="X88" i="1"/>
  <c r="Y88" i="1" s="1"/>
  <c r="AA88" i="1"/>
  <c r="AB88" i="1" s="1"/>
  <c r="I87" i="1"/>
  <c r="J87" i="1" s="1"/>
  <c r="L87" i="1"/>
  <c r="M87" i="1" s="1"/>
  <c r="R87" i="1"/>
  <c r="S87" i="1" s="1"/>
  <c r="X87" i="1"/>
  <c r="Y87" i="1" s="1"/>
  <c r="AA87" i="1"/>
  <c r="AB87" i="1" s="1"/>
  <c r="L86" i="1"/>
  <c r="M86" i="1" s="1"/>
  <c r="R86" i="1"/>
  <c r="S86" i="1" s="1"/>
  <c r="I85" i="1"/>
  <c r="J85" i="1" s="1"/>
  <c r="L85" i="1"/>
  <c r="M85" i="1" s="1"/>
  <c r="R85" i="1"/>
  <c r="S85" i="1"/>
  <c r="X85" i="1"/>
  <c r="Y85" i="1" s="1"/>
  <c r="AA85" i="1"/>
  <c r="AB85" i="1" s="1"/>
  <c r="I84" i="1"/>
  <c r="J84" i="1" s="1"/>
  <c r="L84" i="1"/>
  <c r="M84" i="1" s="1"/>
  <c r="X84" i="1"/>
  <c r="Y84" i="1" s="1"/>
  <c r="AA84" i="1"/>
  <c r="AB84" i="1" s="1"/>
  <c r="U82" i="1"/>
  <c r="V82" i="1" s="1"/>
  <c r="R81" i="1"/>
  <c r="S81" i="1" s="1"/>
  <c r="U81" i="1"/>
  <c r="V81" i="1" s="1"/>
  <c r="I80" i="1"/>
  <c r="J80" i="1" s="1"/>
  <c r="R80" i="1"/>
  <c r="S80" i="1" s="1"/>
  <c r="I79" i="1"/>
  <c r="J79" i="1" s="1"/>
  <c r="R79" i="1"/>
  <c r="S79" i="1" s="1"/>
  <c r="U79" i="1"/>
  <c r="V79" i="1" s="1"/>
  <c r="I78" i="1"/>
  <c r="J78" i="1" s="1"/>
  <c r="L78" i="1"/>
  <c r="M78" i="1" s="1"/>
  <c r="R78" i="1"/>
  <c r="S78" i="1" s="1"/>
  <c r="U78" i="1"/>
  <c r="V78" i="1" s="1"/>
  <c r="U77" i="1"/>
  <c r="V77" i="1" s="1"/>
  <c r="I76" i="1"/>
  <c r="J76" i="1" s="1"/>
  <c r="R76" i="1"/>
  <c r="S76" i="1" s="1"/>
  <c r="R75" i="1"/>
  <c r="S75" i="1" s="1"/>
  <c r="U75" i="1"/>
  <c r="V75" i="1" s="1"/>
  <c r="I74" i="1"/>
  <c r="J74" i="1" s="1"/>
  <c r="L74" i="1"/>
  <c r="M74" i="1" s="1"/>
  <c r="O74" i="1"/>
  <c r="P74" i="1" s="1"/>
  <c r="R74" i="1"/>
  <c r="S74" i="1"/>
  <c r="U74" i="1"/>
  <c r="V74" i="1" s="1"/>
  <c r="AC124" i="1"/>
  <c r="J102" i="1" l="1"/>
  <c r="O100" i="1"/>
  <c r="P100" i="1" s="1"/>
  <c r="U125" i="1"/>
  <c r="V125" i="1" s="1"/>
  <c r="I136" i="1"/>
  <c r="J136" i="1" s="1"/>
  <c r="Q119" i="1"/>
  <c r="R119" i="1" s="1"/>
  <c r="S119" i="1" s="1"/>
  <c r="T132" i="1"/>
  <c r="U132" i="1" s="1"/>
  <c r="V132" i="1" s="1"/>
  <c r="W79" i="1"/>
  <c r="X79" i="1" s="1"/>
  <c r="Y79" i="1" s="1"/>
  <c r="W121" i="1"/>
  <c r="X121" i="1" s="1"/>
  <c r="Y121" i="1" s="1"/>
  <c r="Z80" i="1"/>
  <c r="AA80" i="1" s="1"/>
  <c r="AB80" i="1" s="1"/>
  <c r="H89" i="1"/>
  <c r="Q126" i="1"/>
  <c r="R126" i="1" s="1"/>
  <c r="S126" i="1" s="1"/>
  <c r="K121" i="1"/>
  <c r="L121" i="1" s="1"/>
  <c r="M121" i="1" s="1"/>
  <c r="K102" i="1"/>
  <c r="L102" i="1" s="1"/>
  <c r="M102" i="1" s="1"/>
  <c r="K81" i="1"/>
  <c r="L81" i="1" s="1"/>
  <c r="M81" i="1" s="1"/>
  <c r="K77" i="1"/>
  <c r="N106" i="1"/>
  <c r="O106" i="1" s="1"/>
  <c r="P106" i="1" s="1"/>
  <c r="N98" i="1"/>
  <c r="O98" i="1" s="1"/>
  <c r="P98" i="1" s="1"/>
  <c r="N94" i="1"/>
  <c r="O94" i="1" s="1"/>
  <c r="P94" i="1" s="1"/>
  <c r="H106" i="1"/>
  <c r="I106" i="1" s="1"/>
  <c r="J106" i="1" s="1"/>
  <c r="AD106" i="1" s="1"/>
  <c r="H96" i="1"/>
  <c r="I96" i="1" s="1"/>
  <c r="J96" i="1" s="1"/>
  <c r="Q108" i="1"/>
  <c r="R108" i="1" s="1"/>
  <c r="S108" i="1" s="1"/>
  <c r="AA74" i="1"/>
  <c r="AB74" i="1" s="1"/>
  <c r="L90" i="1"/>
  <c r="M90" i="1" s="1"/>
  <c r="AD90" i="1" s="1"/>
  <c r="O136" i="1"/>
  <c r="P136" i="1" s="1"/>
  <c r="Q131" i="1"/>
  <c r="R131" i="1" s="1"/>
  <c r="S131" i="1" s="1"/>
  <c r="K131" i="1"/>
  <c r="L131" i="1" s="1"/>
  <c r="M131" i="1" s="1"/>
  <c r="K80" i="1"/>
  <c r="L80" i="1" s="1"/>
  <c r="M80" i="1" s="1"/>
  <c r="AD80" i="1" s="1"/>
  <c r="K76" i="1"/>
  <c r="L76" i="1" s="1"/>
  <c r="M76" i="1" s="1"/>
  <c r="N104" i="1"/>
  <c r="O104" i="1" s="1"/>
  <c r="P104" i="1" s="1"/>
  <c r="N97" i="1"/>
  <c r="O97" i="1" s="1"/>
  <c r="P97" i="1" s="1"/>
  <c r="N93" i="1"/>
  <c r="O93" i="1" s="1"/>
  <c r="P93" i="1" s="1"/>
  <c r="H116" i="1"/>
  <c r="I116" i="1" s="1"/>
  <c r="J116" i="1" s="1"/>
  <c r="Z98" i="1"/>
  <c r="AA98" i="1" s="1"/>
  <c r="AB98" i="1" s="1"/>
  <c r="AA112" i="1"/>
  <c r="AB112" i="1" s="1"/>
  <c r="Q89" i="1"/>
  <c r="R89" i="1" s="1"/>
  <c r="S89" i="1" s="1"/>
  <c r="K119" i="1"/>
  <c r="L119" i="1" s="1"/>
  <c r="M119" i="1" s="1"/>
  <c r="K106" i="1"/>
  <c r="L106" i="1" s="1"/>
  <c r="M106" i="1" s="1"/>
  <c r="K98" i="1"/>
  <c r="L98" i="1" s="1"/>
  <c r="M98" i="1" s="1"/>
  <c r="K79" i="1"/>
  <c r="L79" i="1" s="1"/>
  <c r="M79" i="1" s="1"/>
  <c r="N102" i="1"/>
  <c r="O102" i="1" s="1"/>
  <c r="P102" i="1" s="1"/>
  <c r="H119" i="1"/>
  <c r="I119" i="1" s="1"/>
  <c r="J119" i="1" s="1"/>
  <c r="K83" i="1"/>
  <c r="L83" i="1" s="1"/>
  <c r="M83" i="1" s="1"/>
  <c r="W133" i="1"/>
  <c r="X133" i="1" s="1"/>
  <c r="Y133" i="1" s="1"/>
  <c r="AC88" i="1"/>
  <c r="M88" i="1"/>
  <c r="AD88" i="1"/>
  <c r="J77" i="1"/>
  <c r="AD102" i="1"/>
  <c r="AC112" i="1"/>
  <c r="M112" i="1"/>
  <c r="AD112" i="1" s="1"/>
  <c r="AC85" i="1"/>
  <c r="AD84" i="1"/>
  <c r="AD104" i="1"/>
  <c r="AD113" i="1"/>
  <c r="Q137" i="1"/>
  <c r="R137" i="1" s="1"/>
  <c r="R136" i="1"/>
  <c r="K128" i="1"/>
  <c r="L128" i="1" s="1"/>
  <c r="M128" i="1" s="1"/>
  <c r="K132" i="1"/>
  <c r="L132" i="1" s="1"/>
  <c r="M132" i="1" s="1"/>
  <c r="K129" i="1"/>
  <c r="L129" i="1" s="1"/>
  <c r="M129" i="1" s="1"/>
  <c r="K133" i="1"/>
  <c r="L133" i="1" s="1"/>
  <c r="K126" i="1"/>
  <c r="L126" i="1" s="1"/>
  <c r="M126" i="1" s="1"/>
  <c r="K130" i="1"/>
  <c r="L130" i="1" s="1"/>
  <c r="M130" i="1" s="1"/>
  <c r="K89" i="1"/>
  <c r="K111" i="1" s="1"/>
  <c r="N128" i="1"/>
  <c r="O128" i="1" s="1"/>
  <c r="P128" i="1" s="1"/>
  <c r="N132" i="1"/>
  <c r="O132" i="1" s="1"/>
  <c r="P132" i="1" s="1"/>
  <c r="N129" i="1"/>
  <c r="O129" i="1" s="1"/>
  <c r="P129" i="1" s="1"/>
  <c r="N133" i="1"/>
  <c r="O133" i="1" s="1"/>
  <c r="P133" i="1" s="1"/>
  <c r="N126" i="1"/>
  <c r="O126" i="1" s="1"/>
  <c r="P126" i="1" s="1"/>
  <c r="N130" i="1"/>
  <c r="O130" i="1" s="1"/>
  <c r="P130" i="1" s="1"/>
  <c r="N75" i="1"/>
  <c r="N79" i="1"/>
  <c r="O79" i="1" s="1"/>
  <c r="P79" i="1" s="1"/>
  <c r="N76" i="1"/>
  <c r="O76" i="1" s="1"/>
  <c r="N80" i="1"/>
  <c r="O80" i="1" s="1"/>
  <c r="P80" i="1" s="1"/>
  <c r="N77" i="1"/>
  <c r="O77" i="1" s="1"/>
  <c r="P77" i="1" s="1"/>
  <c r="N81" i="1"/>
  <c r="O81" i="1" s="1"/>
  <c r="P81" i="1" s="1"/>
  <c r="H130" i="1"/>
  <c r="I130" i="1" s="1"/>
  <c r="H131" i="1"/>
  <c r="I131" i="1" s="1"/>
  <c r="H128" i="1"/>
  <c r="I128" i="1" s="1"/>
  <c r="H132" i="1"/>
  <c r="I132" i="1" s="1"/>
  <c r="I123" i="1"/>
  <c r="AD108" i="1"/>
  <c r="AC84" i="1"/>
  <c r="AD124" i="1"/>
  <c r="N127" i="1"/>
  <c r="O127" i="1" s="1"/>
  <c r="P127" i="1" s="1"/>
  <c r="N118" i="1"/>
  <c r="O118" i="1" s="1"/>
  <c r="P118" i="1" s="1"/>
  <c r="N120" i="1"/>
  <c r="O120" i="1" s="1"/>
  <c r="P120" i="1" s="1"/>
  <c r="N114" i="1"/>
  <c r="O114" i="1" s="1"/>
  <c r="P114" i="1" s="1"/>
  <c r="H129" i="1"/>
  <c r="I129" i="1" s="1"/>
  <c r="L77" i="1"/>
  <c r="M77" i="1" s="1"/>
  <c r="AD77" i="1" s="1"/>
  <c r="I86" i="1"/>
  <c r="J86" i="1" s="1"/>
  <c r="Q128" i="1"/>
  <c r="R128" i="1" s="1"/>
  <c r="S128" i="1" s="1"/>
  <c r="Q132" i="1"/>
  <c r="R132" i="1" s="1"/>
  <c r="S132" i="1" s="1"/>
  <c r="R125" i="1"/>
  <c r="Q129" i="1"/>
  <c r="R129" i="1" s="1"/>
  <c r="S129" i="1" s="1"/>
  <c r="Q133" i="1"/>
  <c r="R133" i="1" s="1"/>
  <c r="S133" i="1" s="1"/>
  <c r="Q130" i="1"/>
  <c r="R130" i="1" s="1"/>
  <c r="S130" i="1" s="1"/>
  <c r="Q114" i="1"/>
  <c r="R114" i="1" s="1"/>
  <c r="S114" i="1" s="1"/>
  <c r="Q116" i="1"/>
  <c r="R116" i="1" s="1"/>
  <c r="S116" i="1" s="1"/>
  <c r="Q120" i="1"/>
  <c r="R120" i="1" s="1"/>
  <c r="S120" i="1" s="1"/>
  <c r="R110" i="1"/>
  <c r="S110" i="1" s="1"/>
  <c r="Q117" i="1"/>
  <c r="R117" i="1" s="1"/>
  <c r="S117" i="1" s="1"/>
  <c r="Q121" i="1"/>
  <c r="R121" i="1" s="1"/>
  <c r="S121" i="1" s="1"/>
  <c r="Q118" i="1"/>
  <c r="R118" i="1" s="1"/>
  <c r="S118" i="1" s="1"/>
  <c r="T129" i="1"/>
  <c r="U129" i="1" s="1"/>
  <c r="V129" i="1" s="1"/>
  <c r="T133" i="1"/>
  <c r="U133" i="1" s="1"/>
  <c r="V133" i="1" s="1"/>
  <c r="T130" i="1"/>
  <c r="U130" i="1" s="1"/>
  <c r="V130" i="1" s="1"/>
  <c r="T127" i="1"/>
  <c r="U127" i="1" s="1"/>
  <c r="V127" i="1" s="1"/>
  <c r="T131" i="1"/>
  <c r="U131" i="1" s="1"/>
  <c r="V131" i="1" s="1"/>
  <c r="T114" i="1"/>
  <c r="U114" i="1" s="1"/>
  <c r="V114" i="1" s="1"/>
  <c r="T117" i="1"/>
  <c r="U117" i="1" s="1"/>
  <c r="V117" i="1" s="1"/>
  <c r="T121" i="1"/>
  <c r="U121" i="1" s="1"/>
  <c r="V121" i="1" s="1"/>
  <c r="T118" i="1"/>
  <c r="U118" i="1" s="1"/>
  <c r="V118" i="1" s="1"/>
  <c r="T115" i="1"/>
  <c r="U115" i="1" s="1"/>
  <c r="V115" i="1" s="1"/>
  <c r="T119" i="1"/>
  <c r="U119" i="1" s="1"/>
  <c r="V119" i="1" s="1"/>
  <c r="U110" i="1"/>
  <c r="V110" i="1" s="1"/>
  <c r="W118" i="1"/>
  <c r="X118" i="1" s="1"/>
  <c r="Y118" i="1" s="1"/>
  <c r="W115" i="1"/>
  <c r="X115" i="1" s="1"/>
  <c r="Y115" i="1" s="1"/>
  <c r="W119" i="1"/>
  <c r="X119" i="1" s="1"/>
  <c r="Y119" i="1" s="1"/>
  <c r="W116" i="1"/>
  <c r="X116" i="1" s="1"/>
  <c r="Y116" i="1" s="1"/>
  <c r="W120" i="1"/>
  <c r="X120" i="1" s="1"/>
  <c r="Y120" i="1" s="1"/>
  <c r="W75" i="1"/>
  <c r="X75" i="1" s="1"/>
  <c r="Y75" i="1" s="1"/>
  <c r="W76" i="1"/>
  <c r="X76" i="1" s="1"/>
  <c r="Y76" i="1" s="1"/>
  <c r="W80" i="1"/>
  <c r="X80" i="1" s="1"/>
  <c r="Y80" i="1" s="1"/>
  <c r="W77" i="1"/>
  <c r="X77" i="1" s="1"/>
  <c r="Y77" i="1" s="1"/>
  <c r="W81" i="1"/>
  <c r="X81" i="1" s="1"/>
  <c r="Y81" i="1" s="1"/>
  <c r="W78" i="1"/>
  <c r="X78" i="1" s="1"/>
  <c r="Y78" i="1" s="1"/>
  <c r="W82" i="1"/>
  <c r="X82" i="1" s="1"/>
  <c r="Y82" i="1" s="1"/>
  <c r="Z119" i="1"/>
  <c r="AA119" i="1" s="1"/>
  <c r="AB119" i="1" s="1"/>
  <c r="Z115" i="1"/>
  <c r="AA115" i="1" s="1"/>
  <c r="AB115" i="1" s="1"/>
  <c r="Z120" i="1"/>
  <c r="AA120" i="1" s="1"/>
  <c r="AB120" i="1" s="1"/>
  <c r="Z117" i="1"/>
  <c r="AA117" i="1" s="1"/>
  <c r="AB117" i="1" s="1"/>
  <c r="Z121" i="1"/>
  <c r="AA121" i="1" s="1"/>
  <c r="AB121" i="1" s="1"/>
  <c r="Z75" i="1"/>
  <c r="AA75" i="1" s="1"/>
  <c r="AB75" i="1" s="1"/>
  <c r="Z77" i="1"/>
  <c r="AA77" i="1" s="1"/>
  <c r="AB77" i="1" s="1"/>
  <c r="Z81" i="1"/>
  <c r="AA81" i="1" s="1"/>
  <c r="AB81" i="1" s="1"/>
  <c r="Z78" i="1"/>
  <c r="AA78" i="1" s="1"/>
  <c r="AB78" i="1" s="1"/>
  <c r="Z82" i="1"/>
  <c r="AA82" i="1" s="1"/>
  <c r="AB82" i="1" s="1"/>
  <c r="Z79" i="1"/>
  <c r="AA79" i="1" s="1"/>
  <c r="AB79" i="1" s="1"/>
  <c r="N116" i="1"/>
  <c r="O116" i="1" s="1"/>
  <c r="P116" i="1" s="1"/>
  <c r="N82" i="1"/>
  <c r="O82" i="1" s="1"/>
  <c r="P82" i="1" s="1"/>
  <c r="H117" i="1"/>
  <c r="I117" i="1" s="1"/>
  <c r="J117" i="1" s="1"/>
  <c r="H121" i="1"/>
  <c r="I121" i="1" s="1"/>
  <c r="J121" i="1" s="1"/>
  <c r="W89" i="1"/>
  <c r="Q109" i="1"/>
  <c r="R109" i="1" s="1"/>
  <c r="S109" i="1" s="1"/>
  <c r="T126" i="1"/>
  <c r="U126" i="1" s="1"/>
  <c r="V126" i="1" s="1"/>
  <c r="T109" i="1"/>
  <c r="U109" i="1" s="1"/>
  <c r="V109" i="1" s="1"/>
  <c r="W114" i="1"/>
  <c r="X114" i="1" s="1"/>
  <c r="Y114" i="1" s="1"/>
  <c r="Z114" i="1"/>
  <c r="AA114" i="1" s="1"/>
  <c r="AB114" i="1" s="1"/>
  <c r="K94" i="1"/>
  <c r="L94" i="1" s="1"/>
  <c r="N105" i="1"/>
  <c r="O105" i="1" s="1"/>
  <c r="P105" i="1" s="1"/>
  <c r="N101" i="1"/>
  <c r="O101" i="1" s="1"/>
  <c r="P101" i="1" s="1"/>
  <c r="N91" i="1"/>
  <c r="O91" i="1" s="1"/>
  <c r="P91" i="1" s="1"/>
  <c r="H118" i="1"/>
  <c r="I118" i="1" s="1"/>
  <c r="J118" i="1" s="1"/>
  <c r="H115" i="1"/>
  <c r="I115" i="1" s="1"/>
  <c r="J115" i="1" s="1"/>
  <c r="H97" i="1"/>
  <c r="I97" i="1" s="1"/>
  <c r="J97" i="1" s="1"/>
  <c r="H93" i="1"/>
  <c r="I93" i="1" s="1"/>
  <c r="J93" i="1" s="1"/>
  <c r="T89" i="1"/>
  <c r="T111" i="1" s="1"/>
  <c r="Z89" i="1"/>
  <c r="Q99" i="1"/>
  <c r="R99" i="1" s="1"/>
  <c r="S99" i="1" s="1"/>
  <c r="T99" i="1"/>
  <c r="U99" i="1" s="1"/>
  <c r="V99" i="1" s="1"/>
  <c r="W109" i="1"/>
  <c r="X109" i="1" s="1"/>
  <c r="Y109" i="1" s="1"/>
  <c r="Z109" i="1"/>
  <c r="AA109" i="1" s="1"/>
  <c r="AB109" i="1" s="1"/>
  <c r="K114" i="1"/>
  <c r="L114" i="1" s="1"/>
  <c r="M114" i="1" s="1"/>
  <c r="H127" i="1"/>
  <c r="I127" i="1" s="1"/>
  <c r="W99" i="1"/>
  <c r="X99" i="1" s="1"/>
  <c r="Y99" i="1" s="1"/>
  <c r="Z99" i="1"/>
  <c r="AA99" i="1" s="1"/>
  <c r="AB99" i="1" s="1"/>
  <c r="K115" i="1"/>
  <c r="L115" i="1" s="1"/>
  <c r="M115" i="1" s="1"/>
  <c r="N117" i="1"/>
  <c r="O117" i="1" s="1"/>
  <c r="P117" i="1" s="1"/>
  <c r="N107" i="1"/>
  <c r="O107" i="1" s="1"/>
  <c r="P107" i="1" s="1"/>
  <c r="H120" i="1"/>
  <c r="I120" i="1" s="1"/>
  <c r="J120" i="1" s="1"/>
  <c r="H95" i="1"/>
  <c r="I95" i="1" s="1"/>
  <c r="J95" i="1" s="1"/>
  <c r="AD78" i="1"/>
  <c r="AD79" i="1"/>
  <c r="AD98" i="1"/>
  <c r="AD74" i="1"/>
  <c r="AD85" i="1"/>
  <c r="AD100" i="1"/>
  <c r="M93" i="1"/>
  <c r="J91" i="1"/>
  <c r="AD87" i="1"/>
  <c r="AD110" i="1"/>
  <c r="M101" i="1"/>
  <c r="AC74" i="1"/>
  <c r="AC113" i="1"/>
  <c r="AC108" i="1"/>
  <c r="AC104" i="1"/>
  <c r="AC100" i="1"/>
  <c r="AC87" i="1"/>
  <c r="O92" i="1"/>
  <c r="P92" i="1" s="1"/>
  <c r="AC78" i="1"/>
  <c r="AC86" i="1"/>
  <c r="AA91" i="1"/>
  <c r="AB91" i="1" s="1"/>
  <c r="U91" i="1"/>
  <c r="V91" i="1" s="1"/>
  <c r="X101" i="1"/>
  <c r="Y101" i="1" s="1"/>
  <c r="AA126" i="1"/>
  <c r="AB126" i="1" s="1"/>
  <c r="Q83" i="1"/>
  <c r="R83" i="1" s="1"/>
  <c r="S83" i="1" s="1"/>
  <c r="T83" i="1"/>
  <c r="U83" i="1" s="1"/>
  <c r="V83" i="1" s="1"/>
  <c r="K117" i="1"/>
  <c r="L117" i="1" s="1"/>
  <c r="K96" i="1"/>
  <c r="L96" i="1" s="1"/>
  <c r="K92" i="1"/>
  <c r="L92" i="1" s="1"/>
  <c r="M92" i="1" s="1"/>
  <c r="H126" i="1"/>
  <c r="H114" i="1"/>
  <c r="I114" i="1" s="1"/>
  <c r="H75" i="1"/>
  <c r="Z116" i="1"/>
  <c r="AA116" i="1" s="1"/>
  <c r="AB116" i="1" s="1"/>
  <c r="K120" i="1"/>
  <c r="L120" i="1" s="1"/>
  <c r="K116" i="1"/>
  <c r="L116" i="1" s="1"/>
  <c r="K107" i="1"/>
  <c r="L107" i="1" s="1"/>
  <c r="K103" i="1"/>
  <c r="L103" i="1" s="1"/>
  <c r="K95" i="1"/>
  <c r="L95" i="1" s="1"/>
  <c r="K91" i="1"/>
  <c r="N119" i="1"/>
  <c r="O119" i="1" s="1"/>
  <c r="N115" i="1"/>
  <c r="O115" i="1" s="1"/>
  <c r="H92" i="1"/>
  <c r="I92" i="1" s="1"/>
  <c r="N89" i="1"/>
  <c r="N111" i="1" s="1"/>
  <c r="K118" i="1"/>
  <c r="L118" i="1" s="1"/>
  <c r="K105" i="1"/>
  <c r="L105" i="1" s="1"/>
  <c r="K97" i="1"/>
  <c r="L97" i="1" s="1"/>
  <c r="N121" i="1"/>
  <c r="O121" i="1" s="1"/>
  <c r="U89" i="1"/>
  <c r="V89" i="1" s="1"/>
  <c r="AD86" i="1"/>
  <c r="H111" i="1"/>
  <c r="I89" i="1"/>
  <c r="Q111" i="1" l="1"/>
  <c r="AC93" i="1"/>
  <c r="AC90" i="1"/>
  <c r="H109" i="1"/>
  <c r="I109" i="1" s="1"/>
  <c r="J109" i="1" s="1"/>
  <c r="AC79" i="1"/>
  <c r="AC106" i="1"/>
  <c r="AD81" i="1"/>
  <c r="AC102" i="1"/>
  <c r="AC110" i="1"/>
  <c r="AC98" i="1"/>
  <c r="L89" i="1"/>
  <c r="M89" i="1" s="1"/>
  <c r="O89" i="1"/>
  <c r="P89" i="1" s="1"/>
  <c r="AD82" i="1"/>
  <c r="N83" i="1"/>
  <c r="O83" i="1" s="1"/>
  <c r="P83" i="1" s="1"/>
  <c r="W83" i="1"/>
  <c r="X83" i="1" s="1"/>
  <c r="Y83" i="1" s="1"/>
  <c r="AC94" i="1"/>
  <c r="M94" i="1"/>
  <c r="AD94" i="1" s="1"/>
  <c r="M133" i="1"/>
  <c r="AD133" i="1" s="1"/>
  <c r="AC133" i="1"/>
  <c r="S136" i="1"/>
  <c r="AD136" i="1" s="1"/>
  <c r="AC136" i="1"/>
  <c r="AC77" i="1"/>
  <c r="T134" i="1"/>
  <c r="U134" i="1" s="1"/>
  <c r="V134" i="1" s="1"/>
  <c r="AC82" i="1"/>
  <c r="W134" i="1"/>
  <c r="Z111" i="1"/>
  <c r="AA89" i="1"/>
  <c r="AB89" i="1" s="1"/>
  <c r="AC129" i="1"/>
  <c r="J129" i="1"/>
  <c r="AD129" i="1" s="1"/>
  <c r="AC81" i="1"/>
  <c r="J128" i="1"/>
  <c r="AC128" i="1"/>
  <c r="S137" i="1"/>
  <c r="AD137" i="1" s="1"/>
  <c r="AC137" i="1"/>
  <c r="Z83" i="1"/>
  <c r="AA83" i="1" s="1"/>
  <c r="AB83" i="1" s="1"/>
  <c r="J127" i="1"/>
  <c r="AD127" i="1" s="1"/>
  <c r="AC127" i="1"/>
  <c r="W111" i="1"/>
  <c r="X89" i="1"/>
  <c r="Y89" i="1" s="1"/>
  <c r="J131" i="1"/>
  <c r="AD131" i="1" s="1"/>
  <c r="AC131" i="1"/>
  <c r="N134" i="1"/>
  <c r="O134" i="1" s="1"/>
  <c r="P134" i="1" s="1"/>
  <c r="O75" i="1"/>
  <c r="P75" i="1" s="1"/>
  <c r="S125" i="1"/>
  <c r="AD125" i="1" s="1"/>
  <c r="AC125" i="1"/>
  <c r="J132" i="1"/>
  <c r="AD132" i="1" s="1"/>
  <c r="AC132" i="1"/>
  <c r="Q134" i="1"/>
  <c r="R134" i="1" s="1"/>
  <c r="S134" i="1" s="1"/>
  <c r="Z134" i="1"/>
  <c r="AD101" i="1"/>
  <c r="AD93" i="1"/>
  <c r="N99" i="1"/>
  <c r="O99" i="1" s="1"/>
  <c r="P99" i="1" s="1"/>
  <c r="N109" i="1"/>
  <c r="O109" i="1" s="1"/>
  <c r="P109" i="1" s="1"/>
  <c r="AC80" i="1"/>
  <c r="J123" i="1"/>
  <c r="AD123" i="1" s="1"/>
  <c r="AC123" i="1"/>
  <c r="J130" i="1"/>
  <c r="AD130" i="1" s="1"/>
  <c r="AC130" i="1"/>
  <c r="P76" i="1"/>
  <c r="AD76" i="1" s="1"/>
  <c r="AC76" i="1"/>
  <c r="AD128" i="1"/>
  <c r="AC105" i="1"/>
  <c r="M105" i="1"/>
  <c r="AD105" i="1" s="1"/>
  <c r="AC115" i="1"/>
  <c r="P115" i="1"/>
  <c r="AD115" i="1" s="1"/>
  <c r="I126" i="1"/>
  <c r="P121" i="1"/>
  <c r="AD121" i="1" s="1"/>
  <c r="AC121" i="1"/>
  <c r="M118" i="1"/>
  <c r="AD118" i="1" s="1"/>
  <c r="AC118" i="1"/>
  <c r="P119" i="1"/>
  <c r="AD119" i="1" s="1"/>
  <c r="AC119" i="1"/>
  <c r="M103" i="1"/>
  <c r="AD103" i="1" s="1"/>
  <c r="AC103" i="1"/>
  <c r="K109" i="1"/>
  <c r="L109" i="1" s="1"/>
  <c r="M120" i="1"/>
  <c r="AD120" i="1" s="1"/>
  <c r="AC120" i="1"/>
  <c r="AC97" i="1"/>
  <c r="M97" i="1"/>
  <c r="AD97" i="1" s="1"/>
  <c r="K134" i="1"/>
  <c r="L91" i="1"/>
  <c r="M107" i="1"/>
  <c r="AD107" i="1" s="1"/>
  <c r="AC107" i="1"/>
  <c r="H83" i="1"/>
  <c r="I83" i="1" s="1"/>
  <c r="H134" i="1"/>
  <c r="I134" i="1" s="1"/>
  <c r="I75" i="1"/>
  <c r="M96" i="1"/>
  <c r="AD96" i="1" s="1"/>
  <c r="AC96" i="1"/>
  <c r="J92" i="1"/>
  <c r="AD92" i="1" s="1"/>
  <c r="AC92" i="1"/>
  <c r="M95" i="1"/>
  <c r="AD95" i="1" s="1"/>
  <c r="AC95" i="1"/>
  <c r="M116" i="1"/>
  <c r="AD116" i="1" s="1"/>
  <c r="AC116" i="1"/>
  <c r="AC114" i="1"/>
  <c r="J114" i="1"/>
  <c r="AD114" i="1" s="1"/>
  <c r="M117" i="1"/>
  <c r="AD117" i="1" s="1"/>
  <c r="AC117" i="1"/>
  <c r="K99" i="1"/>
  <c r="L99" i="1" s="1"/>
  <c r="M99" i="1" s="1"/>
  <c r="H99" i="1"/>
  <c r="I99" i="1" s="1"/>
  <c r="AC101" i="1"/>
  <c r="U111" i="1"/>
  <c r="V111" i="1" s="1"/>
  <c r="T122" i="1"/>
  <c r="K122" i="1"/>
  <c r="L111" i="1"/>
  <c r="M111" i="1" s="1"/>
  <c r="J89" i="1"/>
  <c r="AC89" i="1"/>
  <c r="O111" i="1"/>
  <c r="P111" i="1" s="1"/>
  <c r="N122" i="1"/>
  <c r="H122" i="1"/>
  <c r="I111" i="1"/>
  <c r="Q122" i="1"/>
  <c r="R111" i="1"/>
  <c r="S111" i="1" s="1"/>
  <c r="AD89" i="1" l="1"/>
  <c r="Q135" i="1"/>
  <c r="R135" i="1" s="1"/>
  <c r="S135" i="1" s="1"/>
  <c r="AA134" i="1"/>
  <c r="AB134" i="1" s="1"/>
  <c r="Z135" i="1"/>
  <c r="AA135" i="1" s="1"/>
  <c r="AB135" i="1" s="1"/>
  <c r="AA111" i="1"/>
  <c r="AB111" i="1" s="1"/>
  <c r="Z122" i="1"/>
  <c r="X134" i="1"/>
  <c r="Y134" i="1" s="1"/>
  <c r="W135" i="1"/>
  <c r="X135" i="1" s="1"/>
  <c r="Y135" i="1" s="1"/>
  <c r="N135" i="1"/>
  <c r="O135" i="1" s="1"/>
  <c r="P135" i="1" s="1"/>
  <c r="H135" i="1"/>
  <c r="I135" i="1" s="1"/>
  <c r="J135" i="1" s="1"/>
  <c r="W122" i="1"/>
  <c r="X111" i="1"/>
  <c r="Y111" i="1" s="1"/>
  <c r="T135" i="1"/>
  <c r="U135" i="1" s="1"/>
  <c r="V135" i="1" s="1"/>
  <c r="J75" i="1"/>
  <c r="AD75" i="1" s="1"/>
  <c r="AC75" i="1"/>
  <c r="J134" i="1"/>
  <c r="M91" i="1"/>
  <c r="AD91" i="1" s="1"/>
  <c r="AC91" i="1"/>
  <c r="AC99" i="1"/>
  <c r="J99" i="1"/>
  <c r="AD99" i="1" s="1"/>
  <c r="J83" i="1"/>
  <c r="AD83" i="1" s="1"/>
  <c r="AC83" i="1"/>
  <c r="L134" i="1"/>
  <c r="M134" i="1" s="1"/>
  <c r="K135" i="1"/>
  <c r="L135" i="1" s="1"/>
  <c r="M135" i="1" s="1"/>
  <c r="J126" i="1"/>
  <c r="AD126" i="1" s="1"/>
  <c r="AC126" i="1"/>
  <c r="AC109" i="1"/>
  <c r="M109" i="1"/>
  <c r="AD109" i="1" s="1"/>
  <c r="U122" i="1"/>
  <c r="V122" i="1" s="1"/>
  <c r="T138" i="1"/>
  <c r="O122" i="1"/>
  <c r="P122" i="1" s="1"/>
  <c r="N138" i="1"/>
  <c r="R122" i="1"/>
  <c r="S122" i="1" s="1"/>
  <c r="Q138" i="1"/>
  <c r="L122" i="1"/>
  <c r="M122" i="1" s="1"/>
  <c r="J111" i="1"/>
  <c r="I122" i="1"/>
  <c r="H138" i="1"/>
  <c r="AD111" i="1" l="1"/>
  <c r="AC111" i="1"/>
  <c r="AC135" i="1"/>
  <c r="AA122" i="1"/>
  <c r="AB122" i="1" s="1"/>
  <c r="Z138" i="1"/>
  <c r="W138" i="1"/>
  <c r="X122" i="1"/>
  <c r="Y122" i="1" s="1"/>
  <c r="K138" i="1"/>
  <c r="L138" i="1" s="1"/>
  <c r="M138" i="1" s="1"/>
  <c r="AD135" i="1"/>
  <c r="AC134" i="1"/>
  <c r="AD134" i="1"/>
  <c r="T139" i="1"/>
  <c r="U138" i="1"/>
  <c r="V138" i="1" s="1"/>
  <c r="H139" i="1"/>
  <c r="I138" i="1"/>
  <c r="O138" i="1"/>
  <c r="P138" i="1" s="1"/>
  <c r="N139" i="1"/>
  <c r="J122" i="1"/>
  <c r="Q139" i="1"/>
  <c r="R138" i="1"/>
  <c r="S138" i="1" s="1"/>
  <c r="K139" i="1" l="1"/>
  <c r="L139" i="1" s="1"/>
  <c r="M139" i="1" s="1"/>
  <c r="AD122" i="1"/>
  <c r="AA138" i="1"/>
  <c r="AB138" i="1" s="1"/>
  <c r="Z139" i="1"/>
  <c r="W139" i="1"/>
  <c r="X138" i="1"/>
  <c r="Y138" i="1" s="1"/>
  <c r="AC122" i="1"/>
  <c r="T140" i="1"/>
  <c r="U139" i="1"/>
  <c r="V139" i="1" s="1"/>
  <c r="H140" i="1"/>
  <c r="I139" i="1"/>
  <c r="R139" i="1"/>
  <c r="S139" i="1" s="1"/>
  <c r="Q140" i="1"/>
  <c r="K140" i="1"/>
  <c r="J138" i="1"/>
  <c r="O139" i="1"/>
  <c r="P139" i="1" s="1"/>
  <c r="N140" i="1"/>
  <c r="AD138" i="1" l="1"/>
  <c r="W140" i="1"/>
  <c r="X139" i="1"/>
  <c r="Y139" i="1" s="1"/>
  <c r="AC138" i="1"/>
  <c r="Z140" i="1"/>
  <c r="AA139" i="1"/>
  <c r="AB139" i="1" s="1"/>
  <c r="U140" i="1"/>
  <c r="V140" i="1" s="1"/>
  <c r="T146" i="1"/>
  <c r="R140" i="1"/>
  <c r="S140" i="1" s="1"/>
  <c r="Q146" i="1"/>
  <c r="O140" i="1"/>
  <c r="P140" i="1" s="1"/>
  <c r="N146" i="1"/>
  <c r="J139" i="1"/>
  <c r="L140" i="1"/>
  <c r="M140" i="1" s="1"/>
  <c r="K146" i="1"/>
  <c r="I140" i="1"/>
  <c r="H146" i="1"/>
  <c r="AD139" i="1" l="1"/>
  <c r="X140" i="1"/>
  <c r="Y140" i="1" s="1"/>
  <c r="W146" i="1"/>
  <c r="AA140" i="1"/>
  <c r="AB140" i="1" s="1"/>
  <c r="Z146" i="1"/>
  <c r="AC139" i="1"/>
  <c r="T147" i="1"/>
  <c r="U146" i="1"/>
  <c r="V146" i="1" s="1"/>
  <c r="H147" i="1"/>
  <c r="I146" i="1"/>
  <c r="J140" i="1"/>
  <c r="N147" i="1"/>
  <c r="O146" i="1"/>
  <c r="P146" i="1" s="1"/>
  <c r="Q147" i="1"/>
  <c r="R146" i="1"/>
  <c r="S146" i="1" s="1"/>
  <c r="L146" i="1"/>
  <c r="M146" i="1" s="1"/>
  <c r="K147" i="1"/>
  <c r="AC140" i="1" l="1"/>
  <c r="AD140" i="1"/>
  <c r="Z147" i="1"/>
  <c r="AA146" i="1"/>
  <c r="AB146" i="1" s="1"/>
  <c r="X146" i="1"/>
  <c r="Y146" i="1" s="1"/>
  <c r="W147" i="1"/>
  <c r="U147" i="1"/>
  <c r="V147" i="1" s="1"/>
  <c r="T142" i="1"/>
  <c r="U142" i="1" s="1"/>
  <c r="V142" i="1" s="1"/>
  <c r="T141" i="1"/>
  <c r="T144" i="1"/>
  <c r="U144" i="1" s="1"/>
  <c r="V144" i="1" s="1"/>
  <c r="T143" i="1"/>
  <c r="U143" i="1" s="1"/>
  <c r="V143" i="1" s="1"/>
  <c r="J146" i="1"/>
  <c r="R147" i="1"/>
  <c r="S147" i="1" s="1"/>
  <c r="Q143" i="1"/>
  <c r="R143" i="1" s="1"/>
  <c r="S143" i="1" s="1"/>
  <c r="Q142" i="1"/>
  <c r="R142" i="1" s="1"/>
  <c r="S142" i="1" s="1"/>
  <c r="Q144" i="1"/>
  <c r="R144" i="1" s="1"/>
  <c r="S144" i="1" s="1"/>
  <c r="Q141" i="1"/>
  <c r="L147" i="1"/>
  <c r="M147" i="1" s="1"/>
  <c r="K144" i="1"/>
  <c r="L144" i="1" s="1"/>
  <c r="M144" i="1" s="1"/>
  <c r="K143" i="1"/>
  <c r="L143" i="1" s="1"/>
  <c r="M143" i="1" s="1"/>
  <c r="K141" i="1"/>
  <c r="K142" i="1"/>
  <c r="L142" i="1" s="1"/>
  <c r="M142" i="1" s="1"/>
  <c r="O147" i="1"/>
  <c r="P147" i="1" s="1"/>
  <c r="N141" i="1"/>
  <c r="N142" i="1"/>
  <c r="O142" i="1" s="1"/>
  <c r="P142" i="1" s="1"/>
  <c r="N143" i="1"/>
  <c r="O143" i="1" s="1"/>
  <c r="P143" i="1" s="1"/>
  <c r="N144" i="1"/>
  <c r="O144" i="1" s="1"/>
  <c r="P144" i="1" s="1"/>
  <c r="I147" i="1"/>
  <c r="H143" i="1"/>
  <c r="I143" i="1" s="1"/>
  <c r="H142" i="1"/>
  <c r="I142" i="1" s="1"/>
  <c r="H144" i="1"/>
  <c r="I144" i="1" s="1"/>
  <c r="H141" i="1"/>
  <c r="AC146" i="1" l="1"/>
  <c r="AD146" i="1"/>
  <c r="Z143" i="1"/>
  <c r="AA143" i="1" s="1"/>
  <c r="AB143" i="1" s="1"/>
  <c r="AA147" i="1"/>
  <c r="AB147" i="1" s="1"/>
  <c r="Z142" i="1"/>
  <c r="AA142" i="1" s="1"/>
  <c r="AB142" i="1" s="1"/>
  <c r="Z141" i="1"/>
  <c r="Z144" i="1"/>
  <c r="AA144" i="1" s="1"/>
  <c r="AB144" i="1" s="1"/>
  <c r="W141" i="1"/>
  <c r="W142" i="1"/>
  <c r="X142" i="1" s="1"/>
  <c r="Y142" i="1" s="1"/>
  <c r="W143" i="1"/>
  <c r="X143" i="1" s="1"/>
  <c r="Y143" i="1" s="1"/>
  <c r="X147" i="1"/>
  <c r="Y147" i="1" s="1"/>
  <c r="W144" i="1"/>
  <c r="X144" i="1" s="1"/>
  <c r="Y144" i="1" s="1"/>
  <c r="T145" i="1"/>
  <c r="U141" i="1"/>
  <c r="V141" i="1" s="1"/>
  <c r="J143" i="1"/>
  <c r="L141" i="1"/>
  <c r="M141" i="1" s="1"/>
  <c r="K145" i="1"/>
  <c r="Q145" i="1"/>
  <c r="R141" i="1"/>
  <c r="S141" i="1" s="1"/>
  <c r="J142" i="1"/>
  <c r="N145" i="1"/>
  <c r="O141" i="1"/>
  <c r="P141" i="1" s="1"/>
  <c r="H145" i="1"/>
  <c r="I141" i="1"/>
  <c r="J147" i="1"/>
  <c r="J144" i="1"/>
  <c r="AD143" i="1" l="1"/>
  <c r="AC147" i="1"/>
  <c r="AD147" i="1"/>
  <c r="AC144" i="1"/>
  <c r="AC143" i="1"/>
  <c r="AD142" i="1"/>
  <c r="AD144" i="1"/>
  <c r="AC142" i="1"/>
  <c r="AA141" i="1"/>
  <c r="AB141" i="1" s="1"/>
  <c r="Z145" i="1"/>
  <c r="W145" i="1"/>
  <c r="X141" i="1"/>
  <c r="Y141" i="1" s="1"/>
  <c r="U145" i="1"/>
  <c r="V145" i="1" s="1"/>
  <c r="T148" i="1"/>
  <c r="J141" i="1"/>
  <c r="L145" i="1"/>
  <c r="M145" i="1" s="1"/>
  <c r="K148" i="1"/>
  <c r="I145" i="1"/>
  <c r="H148" i="1"/>
  <c r="O145" i="1"/>
  <c r="P145" i="1" s="1"/>
  <c r="N148" i="1"/>
  <c r="R145" i="1"/>
  <c r="S145" i="1" s="1"/>
  <c r="Q148" i="1"/>
  <c r="AC141" i="1" l="1"/>
  <c r="AD141" i="1"/>
  <c r="X145" i="1"/>
  <c r="Y145" i="1" s="1"/>
  <c r="W148" i="1"/>
  <c r="AA145" i="1"/>
  <c r="AB145" i="1" s="1"/>
  <c r="Z148" i="1"/>
  <c r="U148" i="1"/>
  <c r="V148" i="1" s="1"/>
  <c r="T149" i="1"/>
  <c r="O148" i="1"/>
  <c r="P148" i="1" s="1"/>
  <c r="N149" i="1"/>
  <c r="R148" i="1"/>
  <c r="S148" i="1" s="1"/>
  <c r="Q149" i="1"/>
  <c r="I148" i="1"/>
  <c r="H149" i="1"/>
  <c r="L148" i="1"/>
  <c r="M148" i="1" s="1"/>
  <c r="K149" i="1"/>
  <c r="J145" i="1"/>
  <c r="AD145" i="1" l="1"/>
  <c r="AC145" i="1"/>
  <c r="AA148" i="1"/>
  <c r="AB148" i="1" s="1"/>
  <c r="Z149" i="1"/>
  <c r="X148" i="1"/>
  <c r="Y148" i="1" s="1"/>
  <c r="W149" i="1"/>
  <c r="Q50" i="1"/>
  <c r="U149" i="1"/>
  <c r="V149" i="1" s="1"/>
  <c r="Q49" i="1"/>
  <c r="Q6" i="28"/>
  <c r="N6" i="28"/>
  <c r="R149" i="1"/>
  <c r="S149" i="1" s="1"/>
  <c r="N50" i="1"/>
  <c r="N49" i="1"/>
  <c r="E49" i="1"/>
  <c r="F49" i="1" s="1"/>
  <c r="E50" i="1"/>
  <c r="F50" i="1" s="1"/>
  <c r="I149" i="1"/>
  <c r="E6" i="28"/>
  <c r="O149" i="1"/>
  <c r="P149" i="1" s="1"/>
  <c r="K6" i="28"/>
  <c r="K49" i="1"/>
  <c r="K50" i="1"/>
  <c r="H49" i="1"/>
  <c r="H6" i="28"/>
  <c r="L149" i="1"/>
  <c r="M149" i="1" s="1"/>
  <c r="H50" i="1"/>
  <c r="I50" i="1" s="1"/>
  <c r="J148" i="1"/>
  <c r="F7" i="28" l="1"/>
  <c r="F6" i="28"/>
  <c r="R6" i="28"/>
  <c r="R7" i="28"/>
  <c r="I49" i="1"/>
  <c r="I7" i="28"/>
  <c r="I6" i="28"/>
  <c r="L6" i="28"/>
  <c r="L49" i="1" s="1"/>
  <c r="L7" i="28"/>
  <c r="O7" i="28"/>
  <c r="O6" i="28"/>
  <c r="AC148" i="1"/>
  <c r="AD148" i="1"/>
  <c r="W50" i="1"/>
  <c r="AA149" i="1"/>
  <c r="AB149" i="1" s="1"/>
  <c r="W6" i="28"/>
  <c r="W49" i="1"/>
  <c r="T50" i="1"/>
  <c r="X149" i="1"/>
  <c r="Y149" i="1" s="1"/>
  <c r="T49" i="1"/>
  <c r="T6" i="28"/>
  <c r="R49" i="1" s="1"/>
  <c r="Q8" i="28"/>
  <c r="Q9" i="28" s="1"/>
  <c r="E8" i="28"/>
  <c r="E9" i="28" s="1"/>
  <c r="H8" i="28"/>
  <c r="H9" i="28" s="1"/>
  <c r="K8" i="28"/>
  <c r="K9" i="28" s="1"/>
  <c r="L50" i="1"/>
  <c r="J149" i="1"/>
  <c r="AC149" i="1"/>
  <c r="N8" i="28"/>
  <c r="N9" i="28" s="1"/>
  <c r="O49" i="1"/>
  <c r="U7" i="28" l="1"/>
  <c r="U6" i="28"/>
  <c r="X7" i="28"/>
  <c r="Y7" i="28" s="1"/>
  <c r="X6" i="28"/>
  <c r="Y6" i="28" s="1"/>
  <c r="O50" i="1"/>
  <c r="R50" i="1"/>
  <c r="AD149" i="1"/>
  <c r="T8" i="28"/>
  <c r="T9" i="28" s="1"/>
  <c r="W8" i="28"/>
  <c r="W9" i="28" s="1"/>
  <c r="R8" i="28"/>
  <c r="R9" i="28" s="1"/>
  <c r="L8" i="28"/>
  <c r="L9" i="28" s="1"/>
  <c r="I8" i="28"/>
  <c r="I9" i="28" s="1"/>
  <c r="O8" i="28"/>
  <c r="O9" i="28" s="1"/>
  <c r="F8" i="28"/>
  <c r="F9" i="28" s="1"/>
  <c r="U49" i="1" l="1"/>
  <c r="Z7" i="28"/>
  <c r="U8" i="28"/>
  <c r="U9" i="28" s="1"/>
  <c r="X8" i="28"/>
  <c r="X9" i="28" s="1"/>
  <c r="X49" i="1" l="1"/>
  <c r="Y49" i="1" s="1"/>
  <c r="Z49" i="1" s="1"/>
  <c r="Y8" i="28"/>
  <c r="Y9" i="28" s="1"/>
  <c r="Z6" i="28"/>
  <c r="Z8" i="28" s="1"/>
  <c r="Z9" i="28" s="1"/>
  <c r="X50" i="1" l="1"/>
  <c r="U50" i="1"/>
  <c r="Y50" i="1" s="1"/>
  <c r="Z50" i="1" s="1"/>
  <c r="Y52" i="1" s="1"/>
  <c r="AA52" i="1" l="1"/>
  <c r="AA53" i="1"/>
</calcChain>
</file>

<file path=xl/sharedStrings.xml><?xml version="1.0" encoding="utf-8"?>
<sst xmlns="http://schemas.openxmlformats.org/spreadsheetml/2006/main" count="548" uniqueCount="296">
  <si>
    <t>Pagamento</t>
  </si>
  <si>
    <t>Grupo</t>
  </si>
  <si>
    <t>Item</t>
  </si>
  <si>
    <t>Descrição</t>
  </si>
  <si>
    <t>Auxiliar Administrativo</t>
  </si>
  <si>
    <t>Assistente Administrativo</t>
  </si>
  <si>
    <t>Recepcionista</t>
  </si>
  <si>
    <t>Recepcionista Bilíngue</t>
  </si>
  <si>
    <t>Secretário Executivo I</t>
  </si>
  <si>
    <t>Secretário Executivo II</t>
  </si>
  <si>
    <t>Técnico em Secretariado</t>
  </si>
  <si>
    <t>Total</t>
  </si>
  <si>
    <t>Salário</t>
  </si>
  <si>
    <t>Mensal</t>
  </si>
  <si>
    <t>A</t>
  </si>
  <si>
    <t>B</t>
  </si>
  <si>
    <t>FGTS</t>
  </si>
  <si>
    <t>C</t>
  </si>
  <si>
    <t>Previdência Social</t>
  </si>
  <si>
    <t>D</t>
  </si>
  <si>
    <t>INCRA</t>
  </si>
  <si>
    <t>E</t>
  </si>
  <si>
    <t>F</t>
  </si>
  <si>
    <t>G</t>
  </si>
  <si>
    <t>SEBRAE</t>
  </si>
  <si>
    <t>H</t>
  </si>
  <si>
    <t>Salário Educação</t>
  </si>
  <si>
    <t>I</t>
  </si>
  <si>
    <t>GIIL-RAT</t>
  </si>
  <si>
    <t>J</t>
  </si>
  <si>
    <t>Subtotal</t>
  </si>
  <si>
    <t>K</t>
  </si>
  <si>
    <t>Assistência Odontológica</t>
  </si>
  <si>
    <t>L</t>
  </si>
  <si>
    <t>Auxílio Alimentação</t>
  </si>
  <si>
    <t>M</t>
  </si>
  <si>
    <t>N</t>
  </si>
  <si>
    <t>Seguro de Vida/Assistência Funeral</t>
  </si>
  <si>
    <t>O</t>
  </si>
  <si>
    <t>Vale-transporte</t>
  </si>
  <si>
    <t>P</t>
  </si>
  <si>
    <t>Fato Gerador</t>
  </si>
  <si>
    <t>Férias</t>
  </si>
  <si>
    <t>Q</t>
  </si>
  <si>
    <t>R</t>
  </si>
  <si>
    <t>S</t>
  </si>
  <si>
    <t>T</t>
  </si>
  <si>
    <t>U</t>
  </si>
  <si>
    <t>V</t>
  </si>
  <si>
    <t>W</t>
  </si>
  <si>
    <t>Y</t>
  </si>
  <si>
    <t>Z</t>
  </si>
  <si>
    <t>AA</t>
  </si>
  <si>
    <t>13º Salário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</si>
  <si>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</si>
  <si>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</si>
  <si>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</si>
  <si>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</si>
  <si>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</si>
  <si>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</si>
  <si>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</si>
  <si>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</si>
  <si>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</si>
  <si>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</si>
  <si>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</si>
  <si>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</si>
  <si>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Benefícios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</si>
  <si>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</si>
  <si>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</si>
  <si>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</si>
  <si>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</si>
  <si>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</si>
  <si>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</si>
  <si>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</si>
  <si>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</si>
  <si>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</si>
  <si>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</si>
  <si>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AY</t>
  </si>
  <si>
    <t>AZ</t>
  </si>
  <si>
    <t>Aviso Prévio Indenizado</t>
  </si>
  <si>
    <t>BA</t>
  </si>
  <si>
    <t>Férias  - Aviso Prévio Indenizado</t>
  </si>
  <si>
    <t>BB</t>
  </si>
  <si>
    <t>13º Salário - Aviso Prévio Indenizado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</si>
  <si>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</si>
  <si>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</si>
  <si>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</si>
  <si>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</si>
  <si>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</si>
  <si>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</si>
  <si>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</si>
  <si>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</si>
  <si>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</si>
  <si>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Multa FGTS</t>
  </si>
  <si>
    <t>BL</t>
  </si>
  <si>
    <t>Uniforme</t>
  </si>
  <si>
    <t>BM</t>
  </si>
  <si>
    <t>BN</t>
  </si>
  <si>
    <t>Subtotal Custo Empregados</t>
  </si>
  <si>
    <t>Mensal e Fato Gerador</t>
  </si>
  <si>
    <t>CITL</t>
  </si>
  <si>
    <t>BO</t>
  </si>
  <si>
    <t>Custos Indiretos</t>
  </si>
  <si>
    <t>BP</t>
  </si>
  <si>
    <t>BQ</t>
  </si>
  <si>
    <t>COFINS</t>
  </si>
  <si>
    <t>BR</t>
  </si>
  <si>
    <t>ISS</t>
  </si>
  <si>
    <t>BS</t>
  </si>
  <si>
    <t>PIS</t>
  </si>
  <si>
    <t>BT</t>
  </si>
  <si>
    <t>BU</t>
  </si>
  <si>
    <t>Lucro</t>
  </si>
  <si>
    <t>BV</t>
  </si>
  <si>
    <t>Subtotal CITL</t>
  </si>
  <si>
    <t>Total Geral</t>
  </si>
  <si>
    <t>Salário (R$)</t>
  </si>
  <si>
    <t>Unitário Mensal</t>
  </si>
  <si>
    <t>Mensal Total</t>
  </si>
  <si>
    <t>Global</t>
  </si>
  <si>
    <t>Valores - sem CITL (R$)</t>
  </si>
  <si>
    <t>Mensal (R$)</t>
  </si>
  <si>
    <t>Global (R$)</t>
  </si>
  <si>
    <r>
      <t>Benefícios</t>
    </r>
    <r>
      <rPr>
        <b/>
        <vertAlign val="superscript"/>
        <sz val="8"/>
        <color rgb="FF000000"/>
        <rFont val="Arial"/>
        <family val="2"/>
      </rPr>
      <t>2</t>
    </r>
  </si>
  <si>
    <r>
      <t>Plano de Saúde</t>
    </r>
    <r>
      <rPr>
        <b/>
        <vertAlign val="superscript"/>
        <sz val="8"/>
        <color theme="1"/>
        <rFont val="Arial"/>
        <family val="2"/>
      </rPr>
      <t>3</t>
    </r>
  </si>
  <si>
    <r>
      <t>Substituição Temporária</t>
    </r>
    <r>
      <rPr>
        <b/>
        <vertAlign val="superscript"/>
        <sz val="8"/>
        <color rgb="FF000000"/>
        <rFont val="Arial"/>
        <family val="2"/>
      </rPr>
      <t>4</t>
    </r>
  </si>
  <si>
    <r>
      <t>Rescisão de Contrato</t>
    </r>
    <r>
      <rPr>
        <b/>
        <vertAlign val="superscript"/>
        <sz val="8"/>
        <color rgb="FF000000"/>
        <rFont val="Arial"/>
        <family val="2"/>
      </rPr>
      <t>5</t>
    </r>
  </si>
  <si>
    <t>Quantidade</t>
  </si>
  <si>
    <t>Incidência</t>
  </si>
  <si>
    <t>(Salário+Salário/3)/30*70/28</t>
  </si>
  <si>
    <t>Salário/30*70/28</t>
  </si>
  <si>
    <t>A+B+C+D+E+F+G+H+I</t>
  </si>
  <si>
    <t>K+L+M+N+O</t>
  </si>
  <si>
    <t>Q+R+S+T+U+U+V+W+Y+Z</t>
  </si>
  <si>
    <t>AB+AC+AD+AE+AF+AG+AH+AI+AJ</t>
  </si>
  <si>
    <t>AL+AM+AN+AO+AP+AQ+AR+AS+AT+AU+AV+AW</t>
  </si>
  <si>
    <t>A*8%</t>
  </si>
  <si>
    <t>A*20%</t>
  </si>
  <si>
    <t>A*0,2%</t>
  </si>
  <si>
    <t>A*1%</t>
  </si>
  <si>
    <t>A*1,5%</t>
  </si>
  <si>
    <t>A*0,6%</t>
  </si>
  <si>
    <t>A*2,5%</t>
  </si>
  <si>
    <t>(Salário+Salário/3)/12/28</t>
  </si>
  <si>
    <t>Salário/12/28</t>
  </si>
  <si>
    <t>Salário/28*26</t>
  </si>
  <si>
    <t>Q*8%</t>
  </si>
  <si>
    <t>Q*20%</t>
  </si>
  <si>
    <t>Q*0,2%</t>
  </si>
  <si>
    <t>Q*1%</t>
  </si>
  <si>
    <t>Q*1,5%</t>
  </si>
  <si>
    <t>Q*0,6%</t>
  </si>
  <si>
    <t>Q*2,5%</t>
  </si>
  <si>
    <t>AB*8%</t>
  </si>
  <si>
    <t>AB*20%</t>
  </si>
  <si>
    <t>AB*O,2%</t>
  </si>
  <si>
    <t>AB*1%</t>
  </si>
  <si>
    <t>AB*1,5%</t>
  </si>
  <si>
    <t>AB*0,6%</t>
  </si>
  <si>
    <t>AB*2,5%</t>
  </si>
  <si>
    <t>(AL+AN+AO)*8%</t>
  </si>
  <si>
    <t>(AL+AN+AO)*20%</t>
  </si>
  <si>
    <t>(AL+AN+AO)*1%</t>
  </si>
  <si>
    <t>(AL+AN+AO)*1,5%</t>
  </si>
  <si>
    <t>(AL+AN+AO)*0,6%</t>
  </si>
  <si>
    <t>((Salário/30*33)*21,36%)/28</t>
  </si>
  <si>
    <t>(Salário + Salário/3)/12/28</t>
  </si>
  <si>
    <t>(AZ+BB)*8%</t>
  </si>
  <si>
    <t>(AZ+BB)*20%</t>
  </si>
  <si>
    <t>(AZ+BB)*1%</t>
  </si>
  <si>
    <t>(AZ+BB)*1,5%</t>
  </si>
  <si>
    <t>(AZ+BB)*0,6%</t>
  </si>
  <si>
    <t>(AZ+BB)*2,5%</t>
  </si>
  <si>
    <t>(AZ+BB)*0,2%</t>
  </si>
  <si>
    <t>(AL+AN+AO)*0,2%</t>
  </si>
  <si>
    <t>AZ+BA+BB+BC+BD+BE+BF+BG+BH+BI+BJ+BK</t>
  </si>
  <si>
    <t>J+P+AA+AK+AY+BL+BN</t>
  </si>
  <si>
    <t>Base Tributos * 5,00%</t>
  </si>
  <si>
    <t>CPRB</t>
  </si>
  <si>
    <t>Base Tributos * 4,50%</t>
  </si>
  <si>
    <t>BW</t>
  </si>
  <si>
    <t>Lote</t>
  </si>
  <si>
    <t>Razão Social</t>
  </si>
  <si>
    <t>CNPJ</t>
  </si>
  <si>
    <t>Endereço</t>
  </si>
  <si>
    <t>Bairro</t>
  </si>
  <si>
    <t>Cidade</t>
  </si>
  <si>
    <t>UF</t>
  </si>
  <si>
    <t>CEP</t>
  </si>
  <si>
    <t>E-mail</t>
  </si>
  <si>
    <t>DDD/Telefone</t>
  </si>
  <si>
    <t>Quadro 1 - Dados da Licitante</t>
  </si>
  <si>
    <t xml:space="preserve">Nome </t>
  </si>
  <si>
    <t>CPF/RG</t>
  </si>
  <si>
    <t>Quadro 2 - Dados do Representante Legal da Licitante</t>
  </si>
  <si>
    <t>Pregão Eletrônico</t>
  </si>
  <si>
    <t>Data da Proposta</t>
  </si>
  <si>
    <t>Objeto</t>
  </si>
  <si>
    <t>Contratação para prestação de serviços de apoio administrativo, recepção e secretariado pelos órgãos e entidades da Administração Pública Federal - APF direta, autárquica e fundacional, no âmbito do Distrito Federal - DF, com execução realizada mediante alocação pela contratada de empregados com os cargos de Auxiliar Administrativo, Assistente Administrativo, Recepcionista, Recepcionista Bilíngue, Secretário Executivo I, Secretário Executivo II e Técnico em Secretariado, com disponibilização de solução tecnológica para gestão e fiscalização contratual, por meio de aplicação web e aplicativo mobile, observadas as condições estabelecidas no Termo de Referência - TR.</t>
  </si>
  <si>
    <t>Quadro 3 - Validade da Proposta (indicar lote)</t>
  </si>
  <si>
    <t>¹ Observada a validade mínima de 60 dias, conforme Lei nº 8.666/1993.</t>
  </si>
  <si>
    <t>Entidade Sindical da Empresa</t>
  </si>
  <si>
    <t>Entidade Sindical dos Empregados</t>
  </si>
  <si>
    <t>Início Vigência</t>
  </si>
  <si>
    <t>Fim Vigência</t>
  </si>
  <si>
    <t>Quadro 4 - ACT/CCT/DCT</t>
  </si>
  <si>
    <t>¹ Inclusive aditivos, se houver.</t>
  </si>
  <si>
    <t>Regime tributário</t>
  </si>
  <si>
    <t>Documento Comprobatório¹</t>
  </si>
  <si>
    <t>Quadro 5 - Regime Tributário da Licitante</t>
  </si>
  <si>
    <t>SENAI</t>
  </si>
  <si>
    <t>SESI</t>
  </si>
  <si>
    <t>SENAC</t>
  </si>
  <si>
    <t>SESC</t>
  </si>
  <si>
    <t>Quadro 6 - Contribuições Sociais</t>
  </si>
  <si>
    <t>¹ Anexar documento comprobatório.</t>
  </si>
  <si>
    <t>Órgão/Entidade</t>
  </si>
  <si>
    <t>Item 1</t>
  </si>
  <si>
    <t>Item 2</t>
  </si>
  <si>
    <t>Item 3</t>
  </si>
  <si>
    <t>Item 4</t>
  </si>
  <si>
    <t>Item 5</t>
  </si>
  <si>
    <t>Item 6</t>
  </si>
  <si>
    <t>Item 7</t>
  </si>
  <si>
    <t>ValorTotal (R$)</t>
  </si>
  <si>
    <t>C = A X B</t>
  </si>
  <si>
    <t>F = D X E</t>
  </si>
  <si>
    <t>I = G X H</t>
  </si>
  <si>
    <t>L = J X K</t>
  </si>
  <si>
    <t>O = M X N</t>
  </si>
  <si>
    <t>R = P X Q</t>
  </si>
  <si>
    <t>U= S X T</t>
  </si>
  <si>
    <t>V = C+F+I+L+O+R+U</t>
  </si>
  <si>
    <t>X = V x 28</t>
  </si>
  <si>
    <t>Valor Mensal Unitário (R$)</t>
  </si>
  <si>
    <t>Valor Mensal Total (R$)</t>
  </si>
  <si>
    <t>Valor Total do Lote (R$)</t>
  </si>
  <si>
    <r>
      <t>Validade da Proposta (dias)</t>
    </r>
    <r>
      <rPr>
        <b/>
        <vertAlign val="superscript"/>
        <sz val="9"/>
        <color rgb="FF000000"/>
        <rFont val="Calibri Light"/>
        <family val="2"/>
        <scheme val="major"/>
      </rPr>
      <t>1</t>
    </r>
  </si>
  <si>
    <r>
      <t>Número de Registro</t>
    </r>
    <r>
      <rPr>
        <sz val="9"/>
        <color rgb="FF000000"/>
        <rFont val="Calibri Light"/>
        <family val="2"/>
        <scheme val="major"/>
      </rPr>
      <t>¹</t>
    </r>
  </si>
  <si>
    <r>
      <t xml:space="preserve">Código </t>
    </r>
    <r>
      <rPr>
        <b/>
        <sz val="9"/>
        <color rgb="FF000000"/>
        <rFont val="Calibri Light"/>
        <family val="2"/>
        <scheme val="major"/>
      </rPr>
      <t>FPAS</t>
    </r>
  </si>
  <si>
    <r>
      <t xml:space="preserve">Índice </t>
    </r>
    <r>
      <rPr>
        <b/>
        <sz val="9"/>
        <color rgb="FF000000"/>
        <rFont val="Calibri Light"/>
        <family val="2"/>
        <scheme val="major"/>
      </rPr>
      <t>FAP¹</t>
    </r>
  </si>
  <si>
    <r>
      <t>Contribuições Sociais</t>
    </r>
    <r>
      <rPr>
        <sz val="9"/>
        <color rgb="FF000000"/>
        <rFont val="Calibri Light"/>
        <family val="2"/>
        <scheme val="major"/>
      </rPr>
      <t xml:space="preserve"> (%)</t>
    </r>
  </si>
  <si>
    <r>
      <t xml:space="preserve">Global </t>
    </r>
    <r>
      <rPr>
        <b/>
        <vertAlign val="superscript"/>
        <sz val="9"/>
        <color rgb="FF000000"/>
        <rFont val="Calibri Light"/>
        <family val="2"/>
        <scheme val="major"/>
      </rPr>
      <t>1</t>
    </r>
  </si>
  <si>
    <r>
      <t>1</t>
    </r>
    <r>
      <rPr>
        <sz val="9"/>
        <color theme="1"/>
        <rFont val="Calibri"/>
        <family val="2"/>
        <scheme val="minor"/>
      </rPr>
      <t xml:space="preserve"> Observado o prazo de execução de 28 meses, conforme subitem 1.5 do TR.</t>
    </r>
  </si>
  <si>
    <t>Declaramos que:</t>
  </si>
  <si>
    <t>1. concordamos com TODAS as condições estabelecidas no Edital do Pregão Eletrônico nº 10/2020 e seus Anexos.</t>
  </si>
  <si>
    <t>2. nos preços cotados estamos computando todos os custos necessários para a execução dos serviços, bem como tributos diretos e indiretos, encargos trabalhistas, comerciais e quaisquer outras despesas necessárias ao fiel e integral cumprimento do objeto, e não serão solicitados acréscimos, a qualquer título, sendo os serviços prestados sem ônus adicional;</t>
  </si>
  <si>
    <t>3. caso nos seja adjudicado o objeto da licitação, comprometemo-nos a assinar a Ata de Registro de Preços e os Contratos de Serviço dela advindos; e 4. estamos cientes e concordamos com todas as condições estabelecidas no Edital desta Licitação e seus Anexos.</t>
  </si>
  <si>
    <t xml:space="preserve">Local e data </t>
  </si>
  <si>
    <t>__________________________________________________</t>
  </si>
  <si>
    <t>Assinatura do Representante legal da empresa</t>
  </si>
  <si>
    <t>Órgão ou Entidade</t>
  </si>
  <si>
    <t>Valor (R$)</t>
  </si>
  <si>
    <t>Total                       (28 meses)</t>
  </si>
  <si>
    <t>-</t>
  </si>
  <si>
    <t>RCS TECNOLOGIA LTDA</t>
  </si>
  <si>
    <t>(AL+AN+AO)*2,5%</t>
  </si>
  <si>
    <t>Lucro Real</t>
  </si>
  <si>
    <t>DCTF</t>
  </si>
  <si>
    <t>90 dias</t>
  </si>
  <si>
    <t>08.220.952/0001-22</t>
  </si>
  <si>
    <t xml:space="preserve">QUADRA 3 – LOTE 480 –1  e 2 e TERREO  -    BAIRRO – ZONA INDUSTRIAL </t>
  </si>
  <si>
    <t>SAAN</t>
  </si>
  <si>
    <t>BRASÍLIA</t>
  </si>
  <si>
    <t>DF</t>
  </si>
  <si>
    <t>70632-300</t>
  </si>
  <si>
    <t>rcstecnologia@rcstecnologia.com.br; comercial@rcstecnologia.com.br</t>
  </si>
  <si>
    <t>61-3341-3889/ 3361-9997</t>
  </si>
  <si>
    <t>RODRIGO DA COSTA SILVA</t>
  </si>
  <si>
    <t>(Subtotal Custo Empregados + BP)</t>
  </si>
  <si>
    <t>Base Tributos * 3,72%</t>
  </si>
  <si>
    <t>Base Tributos * 0,82%</t>
  </si>
  <si>
    <t>Salário/30*((26,6339)*28/12)/28</t>
  </si>
  <si>
    <t>P/30*((26,6339)*28/12)/28</t>
  </si>
  <si>
    <t>((B+R+AC+AP+BC)*40%)*85,43%</t>
  </si>
  <si>
    <t>Lucro por Posto</t>
  </si>
  <si>
    <t>CGU</t>
  </si>
  <si>
    <t>ANTAQ</t>
  </si>
  <si>
    <t>SINDICATO INTERESTADUAL DOS TRAB NAS IND MET MEC MAT ELETRICOS E ELETRONICOS DO
DF GO TO</t>
  </si>
  <si>
    <t>DF000385/2020</t>
  </si>
  <si>
    <t>Subtotal Custo Empregados *</t>
  </si>
  <si>
    <t>DF000403/2020</t>
  </si>
  <si>
    <t>DF000402/2020</t>
  </si>
  <si>
    <t>DF000416/2020</t>
  </si>
  <si>
    <t>SINDICATO DAS INDUSTRIAS METALURGICAS,MECANICAS E DE MATERIAL ELETRICO DO DISTRITO FEDERAL</t>
  </si>
  <si>
    <t>SINDICATO INTERESTADUAL DOS TRAB NAS IND MET MEC MAT ELETRICOS E ELETRONICOS DO DF GO TO
DF GO TO</t>
  </si>
  <si>
    <t>DF000552/2020</t>
  </si>
  <si>
    <t>A*3%0,9666</t>
  </si>
  <si>
    <t>Q*3%*0,9666</t>
  </si>
  <si>
    <t>AB*3%*0,9666</t>
  </si>
  <si>
    <t>(AL+AN+AO)*3%*0,9666</t>
  </si>
  <si>
    <t>(AZ+BB)*3%*0,9666</t>
  </si>
  <si>
    <t>BQ+BR+BS+BT</t>
  </si>
  <si>
    <t>U = S X T</t>
  </si>
  <si>
    <t>Subtotal Custo Empregados * % Cargo</t>
  </si>
  <si>
    <t>((Subtotal Custo Empregados + BP) * % Cargo)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</si>
</sst>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000%"/>
  </numFmts>
  <fonts count="1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b/>
      <vertAlign val="superscript"/>
      <sz val="8"/>
      <color rgb="FF000000"/>
      <name val="Arial"/>
      <family val="2"/>
    </font>
    <font>
      <b/>
      <vertAlign val="superscript"/>
      <sz val="8"/>
      <color theme="1"/>
      <name val="Arial"/>
      <family val="2"/>
    </font>
    <font>
      <sz val="8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 Light"/>
      <family val="2"/>
      <scheme val="major"/>
    </font>
    <font>
      <b/>
      <sz val="9"/>
      <color rgb="FF000000"/>
      <name val="Calibri Light"/>
      <family val="2"/>
      <scheme val="major"/>
    </font>
    <font>
      <sz val="9"/>
      <color rgb="FF000000"/>
      <name val="Calibri Light"/>
      <family val="2"/>
      <scheme val="major"/>
    </font>
    <font>
      <b/>
      <vertAlign val="superscript"/>
      <sz val="9"/>
      <color rgb="FF000000"/>
      <name val="Calibri Light"/>
      <family val="2"/>
      <scheme val="major"/>
    </font>
    <font>
      <sz val="9"/>
      <color theme="1"/>
      <name val="Calibri Light"/>
      <family val="2"/>
      <scheme val="major"/>
    </font>
    <font>
      <vertAlign val="superscript"/>
      <sz val="9"/>
      <color theme="1"/>
      <name val="Calibri"/>
      <family val="2"/>
      <scheme val="minor"/>
    </font>
    <font>
      <b/>
      <sz val="6"/>
      <color rgb="FF000000"/>
      <name val="Arial"/>
      <family val="2"/>
    </font>
    <font>
      <sz val="6"/>
      <color theme="1"/>
      <name val="Arial"/>
      <family val="2"/>
    </font>
    <font>
      <sz val="6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58">
    <xf numFmtId="0" fontId="0" fillId="0" borderId="0" xfId="0"/>
    <xf numFmtId="0" fontId="2" fillId="0" borderId="1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right" vertical="center"/>
    </xf>
    <xf numFmtId="10" fontId="2" fillId="0" borderId="1" xfId="2" applyNumberFormat="1" applyFont="1" applyBorder="1" applyAlignment="1">
      <alignment horizontal="center" vertical="center"/>
    </xf>
    <xf numFmtId="44" fontId="2" fillId="0" borderId="1" xfId="1" applyFont="1" applyBorder="1" applyAlignment="1">
      <alignment vertical="center"/>
    </xf>
    <xf numFmtId="44" fontId="3" fillId="3" borderId="1" xfId="0" applyNumberFormat="1" applyFont="1" applyFill="1" applyBorder="1" applyAlignment="1">
      <alignment horizontal="right" vertical="center"/>
    </xf>
    <xf numFmtId="10" fontId="3" fillId="3" borderId="1" xfId="2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4" fontId="3" fillId="2" borderId="1" xfId="0" applyNumberFormat="1" applyFont="1" applyFill="1" applyBorder="1" applyAlignment="1">
      <alignment horizontal="right" vertical="center"/>
    </xf>
    <xf numFmtId="44" fontId="3" fillId="3" borderId="1" xfId="1" applyFont="1" applyFill="1" applyBorder="1" applyAlignment="1">
      <alignment horizontal="right" vertical="center"/>
    </xf>
    <xf numFmtId="10" fontId="2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2" borderId="1" xfId="0" applyNumberFormat="1" applyFont="1" applyFill="1" applyBorder="1" applyAlignment="1">
      <alignment vertical="center"/>
    </xf>
    <xf numFmtId="44" fontId="2" fillId="0" borderId="1" xfId="0" applyNumberFormat="1" applyFont="1" applyBorder="1" applyAlignment="1">
      <alignment vertical="center"/>
    </xf>
    <xf numFmtId="44" fontId="3" fillId="2" borderId="1" xfId="0" applyNumberFormat="1" applyFont="1" applyFill="1" applyBorder="1" applyAlignment="1">
      <alignment vertical="center"/>
    </xf>
    <xf numFmtId="44" fontId="3" fillId="2" borderId="1" xfId="1" applyFont="1" applyFill="1" applyBorder="1" applyAlignment="1">
      <alignment horizontal="right" vertical="center"/>
    </xf>
    <xf numFmtId="44" fontId="3" fillId="0" borderId="1" xfId="0" applyNumberFormat="1" applyFont="1" applyFill="1" applyBorder="1" applyAlignment="1">
      <alignment horizontal="right" vertical="center"/>
    </xf>
    <xf numFmtId="44" fontId="2" fillId="0" borderId="1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vertical="center" wrapText="1"/>
    </xf>
    <xf numFmtId="44" fontId="2" fillId="2" borderId="1" xfId="0" applyNumberFormat="1" applyFont="1" applyFill="1" applyBorder="1" applyAlignment="1">
      <alignment horizontal="right" vertical="center"/>
    </xf>
    <xf numFmtId="44" fontId="2" fillId="0" borderId="2" xfId="1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4" fontId="13" fillId="0" borderId="1" xfId="1" applyFont="1" applyBorder="1" applyAlignment="1">
      <alignment horizontal="right" vertical="center" wrapText="1"/>
    </xf>
    <xf numFmtId="44" fontId="13" fillId="0" borderId="1" xfId="0" applyNumberFormat="1" applyFont="1" applyBorder="1" applyAlignment="1">
      <alignment horizontal="right" vertical="center" wrapText="1"/>
    </xf>
    <xf numFmtId="44" fontId="9" fillId="0" borderId="1" xfId="0" applyNumberFormat="1" applyFont="1" applyBorder="1" applyAlignment="1">
      <alignment vertical="center" wrapText="1"/>
    </xf>
    <xf numFmtId="44" fontId="9" fillId="0" borderId="1" xfId="0" applyNumberFormat="1" applyFont="1" applyBorder="1" applyAlignment="1">
      <alignment horizontal="center" vertical="center" wrapText="1"/>
    </xf>
    <xf numFmtId="0" fontId="16" fillId="0" borderId="0" xfId="0" applyFont="1"/>
    <xf numFmtId="4" fontId="15" fillId="4" borderId="1" xfId="0" applyNumberFormat="1" applyFon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3" fontId="17" fillId="5" borderId="1" xfId="0" applyNumberFormat="1" applyFont="1" applyFill="1" applyBorder="1" applyAlignment="1">
      <alignment horizontal="right" vertical="center" wrapText="1"/>
    </xf>
    <xf numFmtId="4" fontId="17" fillId="5" borderId="1" xfId="0" applyNumberFormat="1" applyFont="1" applyFill="1" applyBorder="1" applyAlignment="1">
      <alignment horizontal="right" vertical="center"/>
    </xf>
    <xf numFmtId="3" fontId="15" fillId="4" borderId="1" xfId="0" applyNumberFormat="1" applyFont="1" applyFill="1" applyBorder="1" applyAlignment="1">
      <alignment horizontal="right" vertical="center" wrapText="1"/>
    </xf>
    <xf numFmtId="4" fontId="15" fillId="4" borderId="1" xfId="0" applyNumberFormat="1" applyFont="1" applyFill="1" applyBorder="1" applyAlignment="1">
      <alignment horizontal="right" vertical="center" wrapText="1"/>
    </xf>
    <xf numFmtId="44" fontId="16" fillId="0" borderId="0" xfId="0" applyNumberFormat="1" applyFont="1"/>
    <xf numFmtId="3" fontId="16" fillId="0" borderId="0" xfId="0" applyNumberFormat="1" applyFont="1"/>
    <xf numFmtId="0" fontId="16" fillId="0" borderId="0" xfId="0" applyFont="1" applyAlignment="1">
      <alignment horizontal="right"/>
    </xf>
    <xf numFmtId="4" fontId="16" fillId="0" borderId="0" xfId="0" applyNumberFormat="1" applyFont="1"/>
    <xf numFmtId="14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justify" vertical="center" wrapText="1"/>
    </xf>
    <xf numFmtId="14" fontId="13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44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/>
    </xf>
    <xf numFmtId="44" fontId="6" fillId="0" borderId="0" xfId="1" applyFont="1" applyAlignment="1">
      <alignment vertical="center"/>
    </xf>
    <xf numFmtId="44" fontId="16" fillId="0" borderId="0" xfId="1" applyFont="1"/>
    <xf numFmtId="44" fontId="16" fillId="0" borderId="0" xfId="1" applyFont="1" applyAlignment="1">
      <alignment horizontal="right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0" fontId="13" fillId="0" borderId="1" xfId="2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10" fontId="6" fillId="4" borderId="1" xfId="0" applyNumberFormat="1" applyFont="1" applyFill="1" applyBorder="1" applyAlignment="1">
      <alignment horizontal="center" vertical="center"/>
    </xf>
    <xf numFmtId="44" fontId="6" fillId="0" borderId="0" xfId="1" applyFont="1" applyAlignment="1">
      <alignment horizontal="center" vertical="center" wrapText="1"/>
    </xf>
    <xf numFmtId="10" fontId="2" fillId="4" borderId="1" xfId="2" applyNumberFormat="1" applyFont="1" applyFill="1" applyBorder="1" applyAlignment="1">
      <alignment horizontal="center" vertical="center" wrapText="1"/>
    </xf>
    <xf numFmtId="0" fontId="13" fillId="0" borderId="1" xfId="1" applyNumberFormat="1" applyFont="1" applyBorder="1" applyAlignment="1">
      <alignment horizontal="center" vertical="center" wrapText="1"/>
    </xf>
    <xf numFmtId="44" fontId="13" fillId="0" borderId="0" xfId="0" applyNumberFormat="1" applyFont="1" applyAlignment="1">
      <alignment vertical="center"/>
    </xf>
    <xf numFmtId="44" fontId="16" fillId="0" borderId="0" xfId="0" applyNumberFormat="1" applyFont="1" applyAlignment="1">
      <alignment horizontal="right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 textRotation="90" wrapText="1"/>
    </xf>
    <xf numFmtId="4" fontId="15" fillId="4" borderId="1" xfId="0" applyNumberFormat="1" applyFont="1" applyFill="1" applyBorder="1" applyAlignment="1">
      <alignment horizontal="center" vertical="center"/>
    </xf>
    <xf numFmtId="4" fontId="17" fillId="5" borderId="1" xfId="0" applyNumberFormat="1" applyFont="1" applyFill="1" applyBorder="1" applyAlignment="1">
      <alignment horizontal="right" vertical="center" wrapText="1"/>
    </xf>
    <xf numFmtId="0" fontId="15" fillId="4" borderId="1" xfId="0" applyFont="1" applyFill="1" applyBorder="1" applyAlignment="1">
      <alignment horizontal="center" vertical="center" textRotation="90" wrapText="1"/>
    </xf>
    <xf numFmtId="0" fontId="15" fillId="4" borderId="1" xfId="0" applyFont="1" applyFill="1" applyBorder="1" applyAlignment="1">
      <alignment horizontal="center" vertical="center" wrapText="1"/>
    </xf>
    <xf numFmtId="164" fontId="13" fillId="0" borderId="1" xfId="2" applyNumberFormat="1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44" fontId="9" fillId="0" borderId="1" xfId="0" applyNumberFormat="1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0" fontId="13" fillId="0" borderId="1" xfId="2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10" fillId="2" borderId="1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justify" vertical="center"/>
    </xf>
    <xf numFmtId="0" fontId="9" fillId="0" borderId="14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4" fontId="2" fillId="0" borderId="2" xfId="1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/>
    </xf>
    <xf numFmtId="44" fontId="3" fillId="3" borderId="2" xfId="1" applyFont="1" applyFill="1" applyBorder="1" applyAlignment="1">
      <alignment horizontal="center" vertical="center" wrapText="1"/>
    </xf>
    <xf numFmtId="44" fontId="3" fillId="3" borderId="4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4" fontId="17" fillId="5" borderId="5" xfId="0" applyNumberFormat="1" applyFont="1" applyFill="1" applyBorder="1" applyAlignment="1">
      <alignment horizontal="right" vertical="center" wrapText="1"/>
    </xf>
    <xf numFmtId="4" fontId="17" fillId="5" borderId="6" xfId="0" applyNumberFormat="1" applyFont="1" applyFill="1" applyBorder="1" applyAlignment="1">
      <alignment horizontal="right" vertical="center" wrapText="1"/>
    </xf>
    <xf numFmtId="4" fontId="15" fillId="4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4" fontId="17" fillId="5" borderId="1" xfId="0" applyNumberFormat="1" applyFont="1" applyFill="1" applyBorder="1" applyAlignment="1">
      <alignment horizontal="right" vertical="center" wrapText="1"/>
    </xf>
    <xf numFmtId="0" fontId="15" fillId="4" borderId="1" xfId="0" applyFont="1" applyFill="1" applyBorder="1" applyAlignment="1">
      <alignment horizontal="center" vertical="center" textRotation="90" wrapText="1"/>
    </xf>
    <xf numFmtId="0" fontId="15" fillId="4" borderId="1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mruColors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C0C59-B89F-9F4F-9DEE-D8CEA01F84BB}">
  <dimension ref="B1:AF153"/>
  <sheetViews>
    <sheetView tabSelected="1" topLeftCell="I28" zoomScale="85" zoomScaleNormal="85" workbookViewId="0">
      <selection activeCell="W60" sqref="W60"/>
    </sheetView>
  </sheetViews>
  <sheetFormatPr defaultColWidth="10.69921875" defaultRowHeight="10.199999999999999" x14ac:dyDescent="0.3"/>
  <cols>
    <col min="1" max="1" width="1.59765625" style="57" customWidth="1"/>
    <col min="2" max="2" width="15.8984375" style="57" customWidth="1"/>
    <col min="3" max="3" width="29.5" style="57" bestFit="1" customWidth="1"/>
    <col min="4" max="4" width="12.5" style="57" customWidth="1"/>
    <col min="5" max="5" width="27.09765625" style="57" customWidth="1"/>
    <col min="6" max="6" width="20.69921875" style="59" bestFit="1" customWidth="1"/>
    <col min="7" max="7" width="22.69921875" style="57" customWidth="1"/>
    <col min="8" max="8" width="11.19921875" style="57" customWidth="1"/>
    <col min="9" max="9" width="14.19921875" style="57" bestFit="1" customWidth="1"/>
    <col min="10" max="10" width="15.3984375" style="57" bestFit="1" customWidth="1"/>
    <col min="11" max="11" width="11.19921875" style="57" bestFit="1" customWidth="1"/>
    <col min="12" max="12" width="14.5" style="57" bestFit="1" customWidth="1"/>
    <col min="13" max="13" width="15.3984375" style="57" bestFit="1" customWidth="1"/>
    <col min="14" max="14" width="11.19921875" style="57" bestFit="1" customWidth="1"/>
    <col min="15" max="15" width="12.5" style="57" bestFit="1" customWidth="1"/>
    <col min="16" max="16" width="14.19921875" style="57" bestFit="1" customWidth="1"/>
    <col min="17" max="17" width="11.19921875" style="57" bestFit="1" customWidth="1"/>
    <col min="18" max="18" width="12.5" style="57" bestFit="1" customWidth="1"/>
    <col min="19" max="19" width="14.19921875" style="57" bestFit="1" customWidth="1"/>
    <col min="20" max="20" width="11.59765625" style="57" bestFit="1" customWidth="1"/>
    <col min="21" max="21" width="13.59765625" style="57" bestFit="1" customWidth="1"/>
    <col min="22" max="22" width="15.09765625" style="57" bestFit="1" customWidth="1"/>
    <col min="23" max="23" width="14.8984375" style="57" customWidth="1"/>
    <col min="24" max="24" width="13.09765625" style="57" bestFit="1" customWidth="1"/>
    <col min="25" max="25" width="18.19921875" style="57" bestFit="1" customWidth="1"/>
    <col min="26" max="26" width="17.09765625" style="57" bestFit="1" customWidth="1"/>
    <col min="27" max="27" width="14.19921875" style="57" bestFit="1" customWidth="1"/>
    <col min="28" max="28" width="15.3984375" style="57" bestFit="1" customWidth="1"/>
    <col min="29" max="29" width="14.5" style="57" bestFit="1" customWidth="1"/>
    <col min="30" max="30" width="16" style="57" bestFit="1" customWidth="1"/>
    <col min="31" max="31" width="10.69921875" style="57"/>
    <col min="32" max="32" width="11.69921875" style="57" bestFit="1" customWidth="1"/>
    <col min="33" max="16384" width="10.69921875" style="57"/>
  </cols>
  <sheetData>
    <row r="1" spans="2:6" s="27" customFormat="1" ht="12" x14ac:dyDescent="0.3">
      <c r="B1" s="115" t="s">
        <v>191</v>
      </c>
      <c r="C1" s="115"/>
      <c r="F1" s="54"/>
    </row>
    <row r="2" spans="2:6" s="27" customFormat="1" ht="12" x14ac:dyDescent="0.3">
      <c r="B2" s="100" t="s">
        <v>182</v>
      </c>
      <c r="C2" s="100"/>
      <c r="D2" s="100"/>
      <c r="E2" s="100"/>
      <c r="F2" s="67" t="s">
        <v>183</v>
      </c>
    </row>
    <row r="3" spans="2:6" s="27" customFormat="1" ht="12" x14ac:dyDescent="0.3">
      <c r="B3" s="116" t="s">
        <v>255</v>
      </c>
      <c r="C3" s="116"/>
      <c r="D3" s="116"/>
      <c r="E3" s="116"/>
      <c r="F3" s="68" t="s">
        <v>260</v>
      </c>
    </row>
    <row r="4" spans="2:6" s="27" customFormat="1" ht="12" x14ac:dyDescent="0.3">
      <c r="B4" s="100" t="s">
        <v>184</v>
      </c>
      <c r="C4" s="100"/>
      <c r="D4" s="100"/>
      <c r="E4" s="67" t="s">
        <v>185</v>
      </c>
      <c r="F4" s="67" t="s">
        <v>186</v>
      </c>
    </row>
    <row r="5" spans="2:6" s="27" customFormat="1" ht="12" x14ac:dyDescent="0.3">
      <c r="B5" s="116" t="s">
        <v>261</v>
      </c>
      <c r="C5" s="116"/>
      <c r="D5" s="116"/>
      <c r="E5" s="68" t="s">
        <v>262</v>
      </c>
      <c r="F5" s="68" t="s">
        <v>263</v>
      </c>
    </row>
    <row r="6" spans="2:6" s="27" customFormat="1" ht="12" x14ac:dyDescent="0.3">
      <c r="B6" s="67" t="s">
        <v>187</v>
      </c>
      <c r="C6" s="67" t="s">
        <v>188</v>
      </c>
      <c r="D6" s="100" t="s">
        <v>189</v>
      </c>
      <c r="E6" s="100"/>
      <c r="F6" s="67" t="s">
        <v>190</v>
      </c>
    </row>
    <row r="7" spans="2:6" s="27" customFormat="1" ht="33.75" customHeight="1" x14ac:dyDescent="0.3">
      <c r="B7" s="68" t="s">
        <v>264</v>
      </c>
      <c r="C7" s="68" t="s">
        <v>265</v>
      </c>
      <c r="D7" s="116" t="s">
        <v>266</v>
      </c>
      <c r="E7" s="116"/>
      <c r="F7" s="68" t="s">
        <v>267</v>
      </c>
    </row>
    <row r="8" spans="2:6" s="27" customFormat="1" ht="12" x14ac:dyDescent="0.3">
      <c r="B8" s="26"/>
      <c r="C8" s="26"/>
      <c r="D8" s="26"/>
      <c r="E8" s="26"/>
      <c r="F8" s="26"/>
    </row>
    <row r="9" spans="2:6" s="27" customFormat="1" ht="12" x14ac:dyDescent="0.3">
      <c r="B9" s="115" t="s">
        <v>194</v>
      </c>
      <c r="C9" s="115"/>
      <c r="D9" s="115"/>
      <c r="E9" s="26"/>
      <c r="F9" s="26"/>
    </row>
    <row r="10" spans="2:6" s="27" customFormat="1" ht="12" x14ac:dyDescent="0.3">
      <c r="B10" s="100" t="s">
        <v>192</v>
      </c>
      <c r="C10" s="100"/>
      <c r="D10" s="100"/>
      <c r="E10" s="100"/>
      <c r="F10" s="67" t="s">
        <v>193</v>
      </c>
    </row>
    <row r="11" spans="2:6" s="27" customFormat="1" ht="12" x14ac:dyDescent="0.3">
      <c r="B11" s="116" t="s">
        <v>268</v>
      </c>
      <c r="C11" s="116"/>
      <c r="D11" s="116"/>
      <c r="E11" s="116"/>
      <c r="F11" s="53">
        <v>1844668</v>
      </c>
    </row>
    <row r="12" spans="2:6" s="27" customFormat="1" ht="12" x14ac:dyDescent="0.3">
      <c r="B12" s="100" t="s">
        <v>184</v>
      </c>
      <c r="C12" s="100"/>
      <c r="D12" s="100"/>
      <c r="E12" s="67" t="s">
        <v>185</v>
      </c>
      <c r="F12" s="67" t="s">
        <v>186</v>
      </c>
    </row>
    <row r="13" spans="2:6" s="27" customFormat="1" ht="12" x14ac:dyDescent="0.3">
      <c r="B13" s="116" t="s">
        <v>261</v>
      </c>
      <c r="C13" s="116"/>
      <c r="D13" s="116"/>
      <c r="E13" s="68" t="s">
        <v>262</v>
      </c>
      <c r="F13" s="68" t="s">
        <v>263</v>
      </c>
    </row>
    <row r="14" spans="2:6" s="27" customFormat="1" ht="12" x14ac:dyDescent="0.3">
      <c r="B14" s="67" t="s">
        <v>187</v>
      </c>
      <c r="C14" s="67" t="s">
        <v>188</v>
      </c>
      <c r="D14" s="100" t="s">
        <v>189</v>
      </c>
      <c r="E14" s="100"/>
      <c r="F14" s="67" t="s">
        <v>190</v>
      </c>
    </row>
    <row r="15" spans="2:6" s="27" customFormat="1" ht="12" x14ac:dyDescent="0.3">
      <c r="B15" s="68" t="s">
        <v>264</v>
      </c>
      <c r="C15" s="68" t="s">
        <v>265</v>
      </c>
      <c r="D15" s="116" t="s">
        <v>266</v>
      </c>
      <c r="E15" s="116"/>
      <c r="F15" s="68" t="s">
        <v>267</v>
      </c>
    </row>
    <row r="16" spans="2:6" s="27" customFormat="1" ht="12" x14ac:dyDescent="0.3">
      <c r="B16" s="26"/>
      <c r="C16" s="26"/>
      <c r="D16" s="26"/>
      <c r="E16" s="26"/>
      <c r="F16" s="26"/>
    </row>
    <row r="17" spans="2:18" s="27" customFormat="1" ht="12" x14ac:dyDescent="0.3">
      <c r="B17" s="115" t="s">
        <v>199</v>
      </c>
      <c r="C17" s="115"/>
      <c r="D17" s="26"/>
      <c r="E17" s="26"/>
      <c r="F17" s="26"/>
    </row>
    <row r="18" spans="2:18" s="27" customFormat="1" ht="25.8" x14ac:dyDescent="0.3">
      <c r="B18" s="29" t="s">
        <v>195</v>
      </c>
      <c r="C18" s="52">
        <v>44105</v>
      </c>
      <c r="D18" s="30" t="s">
        <v>196</v>
      </c>
      <c r="E18" s="52">
        <v>44168</v>
      </c>
      <c r="F18" s="30" t="s">
        <v>237</v>
      </c>
      <c r="G18" s="68" t="s">
        <v>259</v>
      </c>
    </row>
    <row r="19" spans="2:18" s="27" customFormat="1" ht="12" x14ac:dyDescent="0.3">
      <c r="B19" s="113" t="s">
        <v>197</v>
      </c>
      <c r="C19" s="113"/>
      <c r="D19" s="113"/>
      <c r="E19" s="113"/>
      <c r="F19" s="113"/>
      <c r="G19" s="113"/>
    </row>
    <row r="20" spans="2:18" s="27" customFormat="1" ht="62.4" customHeight="1" x14ac:dyDescent="0.3">
      <c r="B20" s="114" t="s">
        <v>198</v>
      </c>
      <c r="C20" s="114"/>
      <c r="D20" s="114"/>
      <c r="E20" s="114"/>
      <c r="F20" s="114"/>
      <c r="G20" s="114"/>
    </row>
    <row r="21" spans="2:18" s="27" customFormat="1" ht="12" x14ac:dyDescent="0.3">
      <c r="B21" s="27" t="s">
        <v>200</v>
      </c>
      <c r="C21" s="26"/>
      <c r="D21" s="26"/>
      <c r="E21" s="26"/>
      <c r="F21" s="26"/>
    </row>
    <row r="22" spans="2:18" s="27" customFormat="1" ht="12" x14ac:dyDescent="0.3">
      <c r="B22" s="26"/>
      <c r="C22" s="26"/>
      <c r="D22" s="26"/>
      <c r="E22" s="26"/>
      <c r="F22" s="26"/>
    </row>
    <row r="23" spans="2:18" s="27" customFormat="1" ht="12" x14ac:dyDescent="0.3">
      <c r="B23" s="115" t="s">
        <v>205</v>
      </c>
      <c r="C23" s="115"/>
      <c r="D23" s="26"/>
      <c r="E23" s="26"/>
      <c r="F23" s="26"/>
    </row>
    <row r="24" spans="2:18" s="27" customFormat="1" ht="84" x14ac:dyDescent="0.3">
      <c r="B24" s="31" t="s">
        <v>201</v>
      </c>
      <c r="C24" s="51" t="s">
        <v>255</v>
      </c>
      <c r="D24" s="88"/>
      <c r="E24" s="31" t="s">
        <v>201</v>
      </c>
      <c r="F24" s="51" t="s">
        <v>255</v>
      </c>
      <c r="H24" s="31" t="s">
        <v>201</v>
      </c>
      <c r="I24" s="51" t="s">
        <v>255</v>
      </c>
      <c r="K24" s="31" t="s">
        <v>201</v>
      </c>
      <c r="L24" s="51" t="s">
        <v>255</v>
      </c>
      <c r="N24" s="31" t="s">
        <v>201</v>
      </c>
      <c r="O24" s="51" t="s">
        <v>284</v>
      </c>
      <c r="Q24" s="31" t="s">
        <v>201</v>
      </c>
      <c r="R24" s="51"/>
    </row>
    <row r="25" spans="2:18" s="27" customFormat="1" ht="53.25" customHeight="1" x14ac:dyDescent="0.3">
      <c r="B25" s="33" t="s">
        <v>202</v>
      </c>
      <c r="C25" s="51" t="s">
        <v>278</v>
      </c>
      <c r="D25" s="88"/>
      <c r="E25" s="33" t="s">
        <v>202</v>
      </c>
      <c r="F25" s="51" t="s">
        <v>278</v>
      </c>
      <c r="H25" s="33" t="s">
        <v>202</v>
      </c>
      <c r="I25" s="51" t="s">
        <v>278</v>
      </c>
      <c r="K25" s="33" t="s">
        <v>202</v>
      </c>
      <c r="L25" s="51" t="s">
        <v>278</v>
      </c>
      <c r="N25" s="33" t="s">
        <v>202</v>
      </c>
      <c r="O25" s="51" t="s">
        <v>285</v>
      </c>
      <c r="Q25" s="33" t="s">
        <v>202</v>
      </c>
      <c r="R25" s="51"/>
    </row>
    <row r="26" spans="2:18" s="27" customFormat="1" ht="24" x14ac:dyDescent="0.3">
      <c r="B26" s="87" t="s">
        <v>238</v>
      </c>
      <c r="C26" s="32" t="s">
        <v>279</v>
      </c>
      <c r="D26" s="88"/>
      <c r="E26" s="87" t="s">
        <v>238</v>
      </c>
      <c r="F26" s="32" t="s">
        <v>281</v>
      </c>
      <c r="H26" s="87" t="s">
        <v>238</v>
      </c>
      <c r="I26" s="32" t="s">
        <v>282</v>
      </c>
      <c r="K26" s="87" t="s">
        <v>238</v>
      </c>
      <c r="L26" s="32" t="s">
        <v>283</v>
      </c>
      <c r="N26" s="87" t="s">
        <v>238</v>
      </c>
      <c r="O26" s="32" t="s">
        <v>286</v>
      </c>
      <c r="Q26" s="87" t="s">
        <v>238</v>
      </c>
      <c r="R26" s="32"/>
    </row>
    <row r="27" spans="2:18" s="27" customFormat="1" ht="12" x14ac:dyDescent="0.3">
      <c r="B27" s="33" t="s">
        <v>203</v>
      </c>
      <c r="C27" s="50">
        <v>43586</v>
      </c>
      <c r="D27" s="88"/>
      <c r="E27" s="33" t="s">
        <v>203</v>
      </c>
      <c r="F27" s="50">
        <v>43586</v>
      </c>
      <c r="H27" s="33" t="s">
        <v>203</v>
      </c>
      <c r="I27" s="50">
        <v>44026</v>
      </c>
      <c r="K27" s="33" t="s">
        <v>203</v>
      </c>
      <c r="L27" s="50">
        <v>44026</v>
      </c>
      <c r="N27" s="33" t="s">
        <v>203</v>
      </c>
      <c r="O27" s="50">
        <v>43586</v>
      </c>
      <c r="Q27" s="33" t="s">
        <v>203</v>
      </c>
      <c r="R27" s="50"/>
    </row>
    <row r="28" spans="2:18" s="27" customFormat="1" ht="12" x14ac:dyDescent="0.3">
      <c r="B28" s="33" t="s">
        <v>204</v>
      </c>
      <c r="C28" s="50">
        <v>44316</v>
      </c>
      <c r="D28" s="88"/>
      <c r="E28" s="33" t="s">
        <v>204</v>
      </c>
      <c r="F28" s="50">
        <v>44316</v>
      </c>
      <c r="H28" s="33" t="s">
        <v>204</v>
      </c>
      <c r="I28" s="50">
        <v>44316</v>
      </c>
      <c r="K28" s="33" t="s">
        <v>204</v>
      </c>
      <c r="L28" s="50">
        <v>44316</v>
      </c>
      <c r="N28" s="33" t="s">
        <v>204</v>
      </c>
      <c r="O28" s="50">
        <v>44316</v>
      </c>
      <c r="Q28" s="33" t="s">
        <v>204</v>
      </c>
      <c r="R28" s="50"/>
    </row>
    <row r="29" spans="2:18" s="27" customFormat="1" ht="12" x14ac:dyDescent="0.3">
      <c r="B29" s="28" t="s">
        <v>206</v>
      </c>
      <c r="C29" s="88"/>
      <c r="D29" s="88"/>
      <c r="E29" s="28" t="s">
        <v>206</v>
      </c>
      <c r="F29" s="88"/>
      <c r="H29" s="28" t="s">
        <v>206</v>
      </c>
      <c r="I29" s="88"/>
      <c r="K29" s="28" t="s">
        <v>206</v>
      </c>
      <c r="L29" s="88"/>
      <c r="N29" s="28" t="s">
        <v>206</v>
      </c>
      <c r="O29" s="88"/>
      <c r="Q29" s="28" t="s">
        <v>206</v>
      </c>
      <c r="R29" s="88"/>
    </row>
    <row r="30" spans="2:18" s="27" customFormat="1" ht="12" x14ac:dyDescent="0.3">
      <c r="B30" s="26"/>
      <c r="C30" s="26"/>
      <c r="D30" s="26"/>
      <c r="E30" s="26"/>
      <c r="F30" s="26"/>
    </row>
    <row r="31" spans="2:18" s="27" customFormat="1" ht="12" x14ac:dyDescent="0.3">
      <c r="B31" s="115" t="s">
        <v>209</v>
      </c>
      <c r="C31" s="115"/>
      <c r="D31" s="26"/>
      <c r="E31" s="26"/>
      <c r="F31" s="26"/>
    </row>
    <row r="32" spans="2:18" s="27" customFormat="1" ht="12" x14ac:dyDescent="0.3">
      <c r="B32" s="71" t="s">
        <v>207</v>
      </c>
      <c r="C32" s="72" t="s">
        <v>208</v>
      </c>
      <c r="D32" s="26"/>
      <c r="E32" s="26"/>
      <c r="F32" s="26"/>
    </row>
    <row r="33" spans="2:26" s="27" customFormat="1" ht="12" x14ac:dyDescent="0.3">
      <c r="B33" s="73" t="s">
        <v>257</v>
      </c>
      <c r="C33" s="73" t="s">
        <v>258</v>
      </c>
      <c r="D33" s="26"/>
      <c r="E33" s="26"/>
      <c r="F33" s="26"/>
    </row>
    <row r="34" spans="2:26" s="27" customFormat="1" ht="12" x14ac:dyDescent="0.3">
      <c r="B34" s="28" t="s">
        <v>215</v>
      </c>
      <c r="C34" s="26"/>
      <c r="D34" s="26"/>
      <c r="E34" s="26"/>
      <c r="F34" s="26"/>
    </row>
    <row r="35" spans="2:26" s="27" customFormat="1" ht="12" x14ac:dyDescent="0.3">
      <c r="B35" s="26"/>
      <c r="C35" s="26"/>
      <c r="D35" s="26"/>
      <c r="E35" s="26"/>
      <c r="F35" s="26"/>
    </row>
    <row r="36" spans="2:26" s="27" customFormat="1" ht="12" x14ac:dyDescent="0.3">
      <c r="B36" s="115" t="s">
        <v>214</v>
      </c>
      <c r="C36" s="115"/>
      <c r="D36" s="26"/>
      <c r="E36" s="26"/>
      <c r="F36" s="26"/>
    </row>
    <row r="37" spans="2:26" s="27" customFormat="1" ht="12" x14ac:dyDescent="0.3">
      <c r="B37" s="110" t="s">
        <v>239</v>
      </c>
      <c r="C37" s="110"/>
      <c r="D37" s="110"/>
      <c r="E37" s="110"/>
      <c r="F37" s="110"/>
      <c r="G37" s="111" t="s">
        <v>240</v>
      </c>
      <c r="H37" s="111"/>
      <c r="I37" s="111"/>
      <c r="J37" s="111"/>
      <c r="K37" s="111"/>
      <c r="L37" s="111"/>
    </row>
    <row r="38" spans="2:26" s="27" customFormat="1" ht="12" x14ac:dyDescent="0.3">
      <c r="B38" s="112">
        <v>507</v>
      </c>
      <c r="C38" s="112"/>
      <c r="D38" s="112"/>
      <c r="E38" s="112"/>
      <c r="F38" s="112"/>
      <c r="G38" s="112">
        <v>0.96660000000000001</v>
      </c>
      <c r="H38" s="112"/>
      <c r="I38" s="112"/>
      <c r="J38" s="112"/>
      <c r="K38" s="112"/>
      <c r="L38" s="112"/>
    </row>
    <row r="39" spans="2:26" s="27" customFormat="1" ht="12" x14ac:dyDescent="0.3">
      <c r="B39" s="100" t="s">
        <v>241</v>
      </c>
      <c r="C39" s="100"/>
      <c r="D39" s="100"/>
      <c r="E39" s="100"/>
      <c r="F39" s="100"/>
      <c r="G39" s="100"/>
      <c r="H39" s="100"/>
      <c r="I39" s="100"/>
      <c r="J39" s="100"/>
      <c r="K39" s="100"/>
      <c r="L39" s="100"/>
    </row>
    <row r="40" spans="2:26" s="27" customFormat="1" ht="12" x14ac:dyDescent="0.3">
      <c r="B40" s="72" t="s">
        <v>18</v>
      </c>
      <c r="C40" s="67" t="s">
        <v>28</v>
      </c>
      <c r="D40" s="72" t="s">
        <v>26</v>
      </c>
      <c r="E40" s="67" t="s">
        <v>20</v>
      </c>
      <c r="F40" s="100" t="s">
        <v>210</v>
      </c>
      <c r="G40" s="100"/>
      <c r="H40" s="67" t="s">
        <v>211</v>
      </c>
      <c r="I40" s="67" t="s">
        <v>212</v>
      </c>
      <c r="J40" s="67" t="s">
        <v>213</v>
      </c>
      <c r="K40" s="67" t="s">
        <v>24</v>
      </c>
      <c r="L40" s="67" t="s">
        <v>16</v>
      </c>
    </row>
    <row r="41" spans="2:26" s="27" customFormat="1" ht="12" x14ac:dyDescent="0.3">
      <c r="B41" s="69">
        <v>0</v>
      </c>
      <c r="C41" s="94">
        <f>0.03*G38</f>
        <v>2.8997999999999999E-2</v>
      </c>
      <c r="D41" s="69">
        <v>2.5000000000000001E-2</v>
      </c>
      <c r="E41" s="69">
        <v>2E-3</v>
      </c>
      <c r="F41" s="107">
        <v>0.01</v>
      </c>
      <c r="G41" s="107"/>
      <c r="H41" s="69">
        <v>1.4999999999999999E-2</v>
      </c>
      <c r="I41" s="69">
        <v>0</v>
      </c>
      <c r="J41" s="69">
        <v>0</v>
      </c>
      <c r="K41" s="69">
        <v>6.0000000000000001E-3</v>
      </c>
      <c r="L41" s="69">
        <v>0.08</v>
      </c>
    </row>
    <row r="42" spans="2:26" s="27" customFormat="1" ht="12" x14ac:dyDescent="0.3">
      <c r="B42" s="27" t="s">
        <v>215</v>
      </c>
      <c r="C42" s="26"/>
      <c r="D42" s="26"/>
      <c r="E42" s="26"/>
      <c r="F42" s="26"/>
    </row>
    <row r="43" spans="2:26" s="27" customFormat="1" ht="12" x14ac:dyDescent="0.3">
      <c r="B43" s="26"/>
      <c r="C43" s="26"/>
      <c r="D43" s="26"/>
      <c r="E43" s="26"/>
      <c r="F43" s="26"/>
    </row>
    <row r="44" spans="2:26" s="27" customFormat="1" ht="12" x14ac:dyDescent="0.3">
      <c r="B44" s="26"/>
      <c r="C44" s="26"/>
      <c r="D44" s="26"/>
      <c r="E44" s="26"/>
      <c r="F44" s="26"/>
    </row>
    <row r="45" spans="2:26" s="27" customFormat="1" ht="12" x14ac:dyDescent="0.3">
      <c r="B45" s="108" t="s">
        <v>181</v>
      </c>
      <c r="C45" s="109" t="s">
        <v>216</v>
      </c>
      <c r="D45" s="100" t="s">
        <v>217</v>
      </c>
      <c r="E45" s="100"/>
      <c r="F45" s="100"/>
      <c r="G45" s="100" t="s">
        <v>218</v>
      </c>
      <c r="H45" s="100"/>
      <c r="I45" s="100"/>
      <c r="J45" s="100" t="s">
        <v>219</v>
      </c>
      <c r="K45" s="100"/>
      <c r="L45" s="100"/>
      <c r="M45" s="100" t="s">
        <v>220</v>
      </c>
      <c r="N45" s="100"/>
      <c r="O45" s="100"/>
      <c r="P45" s="100" t="s">
        <v>221</v>
      </c>
      <c r="Q45" s="100"/>
      <c r="R45" s="100"/>
      <c r="S45" s="100" t="s">
        <v>222</v>
      </c>
      <c r="T45" s="100"/>
      <c r="U45" s="100"/>
      <c r="V45" s="100" t="s">
        <v>223</v>
      </c>
      <c r="W45" s="100"/>
      <c r="X45" s="100"/>
      <c r="Y45" s="100" t="s">
        <v>224</v>
      </c>
      <c r="Z45" s="100"/>
    </row>
    <row r="46" spans="2:26" s="27" customFormat="1" ht="13.8" x14ac:dyDescent="0.3">
      <c r="B46" s="108"/>
      <c r="C46" s="109"/>
      <c r="D46" s="100" t="s">
        <v>4</v>
      </c>
      <c r="E46" s="100"/>
      <c r="F46" s="100"/>
      <c r="G46" s="100" t="s">
        <v>5</v>
      </c>
      <c r="H46" s="100"/>
      <c r="I46" s="100"/>
      <c r="J46" s="100" t="s">
        <v>6</v>
      </c>
      <c r="K46" s="100"/>
      <c r="L46" s="100"/>
      <c r="M46" s="100" t="s">
        <v>7</v>
      </c>
      <c r="N46" s="100"/>
      <c r="O46" s="100"/>
      <c r="P46" s="100" t="s">
        <v>8</v>
      </c>
      <c r="Q46" s="100"/>
      <c r="R46" s="100"/>
      <c r="S46" s="100" t="s">
        <v>9</v>
      </c>
      <c r="T46" s="100"/>
      <c r="U46" s="100"/>
      <c r="V46" s="100" t="s">
        <v>10</v>
      </c>
      <c r="W46" s="100"/>
      <c r="X46" s="100"/>
      <c r="Y46" s="67" t="s">
        <v>13</v>
      </c>
      <c r="Z46" s="67" t="s">
        <v>242</v>
      </c>
    </row>
    <row r="47" spans="2:26" s="27" customFormat="1" ht="12" x14ac:dyDescent="0.3">
      <c r="B47" s="108"/>
      <c r="C47" s="109"/>
      <c r="D47" s="67" t="s">
        <v>14</v>
      </c>
      <c r="E47" s="67" t="s">
        <v>15</v>
      </c>
      <c r="F47" s="67" t="s">
        <v>225</v>
      </c>
      <c r="G47" s="67" t="s">
        <v>19</v>
      </c>
      <c r="H47" s="67" t="s">
        <v>21</v>
      </c>
      <c r="I47" s="67" t="s">
        <v>226</v>
      </c>
      <c r="J47" s="67" t="s">
        <v>23</v>
      </c>
      <c r="K47" s="67" t="s">
        <v>25</v>
      </c>
      <c r="L47" s="67" t="s">
        <v>227</v>
      </c>
      <c r="M47" s="67" t="s">
        <v>29</v>
      </c>
      <c r="N47" s="67" t="s">
        <v>31</v>
      </c>
      <c r="O47" s="67" t="s">
        <v>228</v>
      </c>
      <c r="P47" s="67" t="s">
        <v>35</v>
      </c>
      <c r="Q47" s="67" t="s">
        <v>36</v>
      </c>
      <c r="R47" s="67" t="s">
        <v>229</v>
      </c>
      <c r="S47" s="67" t="s">
        <v>40</v>
      </c>
      <c r="T47" s="67" t="s">
        <v>43</v>
      </c>
      <c r="U47" s="67" t="s">
        <v>230</v>
      </c>
      <c r="V47" s="67" t="s">
        <v>45</v>
      </c>
      <c r="W47" s="67" t="s">
        <v>46</v>
      </c>
      <c r="X47" s="67" t="s">
        <v>231</v>
      </c>
      <c r="Y47" s="99" t="s">
        <v>232</v>
      </c>
      <c r="Z47" s="100" t="s">
        <v>233</v>
      </c>
    </row>
    <row r="48" spans="2:26" s="27" customFormat="1" ht="45.6" x14ac:dyDescent="0.3">
      <c r="B48" s="108"/>
      <c r="C48" s="109"/>
      <c r="D48" s="70" t="s">
        <v>127</v>
      </c>
      <c r="E48" s="70" t="s">
        <v>234</v>
      </c>
      <c r="F48" s="70" t="s">
        <v>235</v>
      </c>
      <c r="G48" s="70" t="s">
        <v>127</v>
      </c>
      <c r="H48" s="70" t="s">
        <v>234</v>
      </c>
      <c r="I48" s="70" t="s">
        <v>235</v>
      </c>
      <c r="J48" s="70" t="s">
        <v>127</v>
      </c>
      <c r="K48" s="70" t="s">
        <v>234</v>
      </c>
      <c r="L48" s="70" t="s">
        <v>235</v>
      </c>
      <c r="M48" s="70" t="s">
        <v>127</v>
      </c>
      <c r="N48" s="70" t="s">
        <v>234</v>
      </c>
      <c r="O48" s="70" t="s">
        <v>235</v>
      </c>
      <c r="P48" s="70" t="s">
        <v>127</v>
      </c>
      <c r="Q48" s="70" t="s">
        <v>234</v>
      </c>
      <c r="R48" s="70" t="s">
        <v>235</v>
      </c>
      <c r="S48" s="70" t="s">
        <v>127</v>
      </c>
      <c r="T48" s="70" t="s">
        <v>234</v>
      </c>
      <c r="U48" s="70" t="s">
        <v>235</v>
      </c>
      <c r="V48" s="70" t="s">
        <v>127</v>
      </c>
      <c r="W48" s="70" t="s">
        <v>234</v>
      </c>
      <c r="X48" s="70" t="s">
        <v>235</v>
      </c>
      <c r="Y48" s="99"/>
      <c r="Z48" s="100"/>
    </row>
    <row r="49" spans="2:27" s="27" customFormat="1" ht="12" x14ac:dyDescent="0.3">
      <c r="B49" s="104">
        <v>1</v>
      </c>
      <c r="C49" s="68" t="s">
        <v>276</v>
      </c>
      <c r="D49" s="73">
        <f>VLOOKUP($C49,'Total Lote 15'!$C$6:$Z$9,2,0)</f>
        <v>51</v>
      </c>
      <c r="E49" s="34">
        <f>HLOOKUP(D46,$H$69:$AD$149,81,0)</f>
        <v>3157.6617857142901</v>
      </c>
      <c r="F49" s="34">
        <f>E49*D49</f>
        <v>161040.75107142879</v>
      </c>
      <c r="G49" s="84">
        <f>VLOOKUP($C49,'Total Lote 15'!$C$6:$Z$9,5,0)</f>
        <v>106</v>
      </c>
      <c r="H49" s="34">
        <f>HLOOKUP(G46,$H$69:$AD$149,81,0)</f>
        <v>4343.0550000000003</v>
      </c>
      <c r="I49" s="35">
        <f>H49*G49</f>
        <v>460363.83</v>
      </c>
      <c r="J49" s="84">
        <f>VLOOKUP($C49,'Total Lote 15'!$C$6:$Z$9,8,0)</f>
        <v>5</v>
      </c>
      <c r="K49" s="34">
        <f>HLOOKUP(J46,$H$69:$AD$149,81,0)</f>
        <v>3490.6735714285701</v>
      </c>
      <c r="L49" s="35">
        <f>K49*J49</f>
        <v>17453.36785714285</v>
      </c>
      <c r="M49" s="73">
        <f>VLOOKUP($C49,'Total Lote 15'!$C$6:$Z$9,11,0)</f>
        <v>0</v>
      </c>
      <c r="N49" s="34">
        <f>HLOOKUP(M46,$H$69:$AD$149,81,0)</f>
        <v>4589.0341754802002</v>
      </c>
      <c r="O49" s="35">
        <f>N49*M49</f>
        <v>0</v>
      </c>
      <c r="P49" s="73">
        <f>VLOOKUP($C49,'Total Lote 15'!$C$6:$Z$9,14,0)</f>
        <v>8</v>
      </c>
      <c r="Q49" s="34">
        <f>HLOOKUP(P46,$H$69:$AD$149,81,0)</f>
        <v>10211.6857785714</v>
      </c>
      <c r="R49" s="35">
        <f>Q49*P49</f>
        <v>81693.486228571201</v>
      </c>
      <c r="S49" s="73">
        <f>VLOOKUP($C49,'Total Lote 15'!$C$6:$Z$9,17,0)</f>
        <v>0</v>
      </c>
      <c r="T49" s="34">
        <f>HLOOKUP(S46,$H$69:$AD$149,81,0)</f>
        <v>10932.2734183057</v>
      </c>
      <c r="U49" s="35">
        <f>T49*S49</f>
        <v>0</v>
      </c>
      <c r="V49" s="73">
        <f>VLOOKUP($C49,'Total Lote 15'!$C$6:$Z$9,20,0)</f>
        <v>30</v>
      </c>
      <c r="W49" s="34">
        <f>HLOOKUP(V46,$H$69:$AD$149,81,0)</f>
        <v>5517.9896428571401</v>
      </c>
      <c r="X49" s="35">
        <f>W49*V49</f>
        <v>165539.68928571421</v>
      </c>
      <c r="Y49" s="36">
        <f>SUM(F49,I49,L49,O49,R49,U49,X49)</f>
        <v>886091.12444285699</v>
      </c>
      <c r="Z49" s="37">
        <f>Y49*28</f>
        <v>24810551.484399997</v>
      </c>
    </row>
    <row r="50" spans="2:27" s="27" customFormat="1" ht="12" x14ac:dyDescent="0.3">
      <c r="B50" s="105"/>
      <c r="C50" s="68" t="s">
        <v>277</v>
      </c>
      <c r="D50" s="74">
        <f>VLOOKUP($C50,'Total Lote 15'!$C$6:$Z$9,2,0)</f>
        <v>3</v>
      </c>
      <c r="E50" s="34">
        <f>HLOOKUP(D46,$H$69:$AD$149,81,0)</f>
        <v>3157.6617857142901</v>
      </c>
      <c r="F50" s="34">
        <f>E50*D50</f>
        <v>9472.9853571428703</v>
      </c>
      <c r="G50" s="84">
        <f>VLOOKUP($C50,'Total Lote 15'!$C$6:$Z$9,5,0)</f>
        <v>29</v>
      </c>
      <c r="H50" s="34">
        <f>HLOOKUP(G46,$H$69:$AD$149,81,0)</f>
        <v>4343.0550000000003</v>
      </c>
      <c r="I50" s="35">
        <f>H50*G50</f>
        <v>125948.595</v>
      </c>
      <c r="J50" s="84">
        <f>VLOOKUP($C50,'Total Lote 15'!$C$6:$Z$9,8,0)</f>
        <v>2</v>
      </c>
      <c r="K50" s="34">
        <f>HLOOKUP(J46,$H$69:$AD$149,81,0)</f>
        <v>3490.6735714285701</v>
      </c>
      <c r="L50" s="35">
        <f>K50*J50</f>
        <v>6981.3471428571402</v>
      </c>
      <c r="M50" s="97">
        <f>VLOOKUP($C50,'Total Lote 15'!$C$6:$Z$9,11,0)</f>
        <v>0</v>
      </c>
      <c r="N50" s="34">
        <f>HLOOKUP(M46,$H$69:$AD$149,81,0)</f>
        <v>4589.0341754802002</v>
      </c>
      <c r="O50" s="35">
        <f>N50*M50</f>
        <v>0</v>
      </c>
      <c r="P50" s="97">
        <f>VLOOKUP($C50,'Total Lote 15'!$C$6:$Z$9,14,0)</f>
        <v>0</v>
      </c>
      <c r="Q50" s="34">
        <f>HLOOKUP(P46,$H$69:$AD$149,81,0)</f>
        <v>10211.6857785714</v>
      </c>
      <c r="R50" s="35">
        <f>Q50*P50</f>
        <v>0</v>
      </c>
      <c r="S50" s="97">
        <f>VLOOKUP($C50,'Total Lote 15'!$C$6:$Z$9,17,0)</f>
        <v>0</v>
      </c>
      <c r="T50" s="34">
        <f>HLOOKUP(S46,$H$69:$AD$149,81,0)</f>
        <v>10932.2734183057</v>
      </c>
      <c r="U50" s="35">
        <f>T50*S50</f>
        <v>0</v>
      </c>
      <c r="V50" s="97">
        <f>VLOOKUP($C50,'Total Lote 15'!$C$6:$Z$9,20,0)</f>
        <v>0</v>
      </c>
      <c r="W50" s="34">
        <f>HLOOKUP(V46,$H$69:$AD$149,81,0)</f>
        <v>5517.9896428571401</v>
      </c>
      <c r="X50" s="35">
        <f>W50*V50</f>
        <v>0</v>
      </c>
      <c r="Y50" s="36">
        <f>SUM(F50,I50,L50,O50,R50,U50,X50)</f>
        <v>142402.92750000002</v>
      </c>
      <c r="Z50" s="37">
        <f>Y50*28</f>
        <v>3987281.9700000007</v>
      </c>
    </row>
    <row r="51" spans="2:27" s="27" customFormat="1" ht="12" x14ac:dyDescent="0.3">
      <c r="B51" s="106"/>
      <c r="C51" s="68"/>
      <c r="D51" s="73"/>
      <c r="E51" s="34"/>
      <c r="F51" s="34"/>
      <c r="G51" s="73"/>
      <c r="H51" s="34"/>
      <c r="I51" s="35"/>
      <c r="J51" s="73"/>
      <c r="K51" s="34"/>
      <c r="L51" s="35"/>
      <c r="M51" s="73"/>
      <c r="N51" s="34"/>
      <c r="O51" s="35"/>
      <c r="P51" s="73"/>
      <c r="Q51" s="34"/>
      <c r="R51" s="35"/>
      <c r="S51" s="73"/>
      <c r="T51" s="34"/>
      <c r="U51" s="35"/>
      <c r="V51" s="73"/>
      <c r="W51" s="34"/>
      <c r="X51" s="35"/>
      <c r="Y51" s="36"/>
      <c r="Z51" s="37"/>
    </row>
    <row r="52" spans="2:27" s="27" customFormat="1" ht="12" x14ac:dyDescent="0.3">
      <c r="B52" s="101" t="s">
        <v>236</v>
      </c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2">
        <f>SUM(Z49:Z51)</f>
        <v>28797833.454399996</v>
      </c>
      <c r="Z52" s="103"/>
      <c r="AA52" s="27" t="b">
        <f>Y52=AD149</f>
        <v>1</v>
      </c>
    </row>
    <row r="53" spans="2:27" s="27" customFormat="1" ht="13.8" x14ac:dyDescent="0.3">
      <c r="B53" s="55" t="s">
        <v>243</v>
      </c>
      <c r="C53" s="26"/>
      <c r="D53" s="26"/>
      <c r="E53" s="26"/>
      <c r="F53" s="26"/>
      <c r="AA53" s="85">
        <f>Y52-AD149</f>
        <v>0</v>
      </c>
    </row>
    <row r="54" spans="2:27" s="27" customFormat="1" ht="12" x14ac:dyDescent="0.3">
      <c r="B54" s="26"/>
      <c r="C54" s="26"/>
      <c r="D54" s="26"/>
      <c r="E54" s="26"/>
      <c r="F54" s="26"/>
    </row>
    <row r="55" spans="2:27" s="27" customFormat="1" ht="15.6" x14ac:dyDescent="0.3">
      <c r="B55" s="80" t="s">
        <v>244</v>
      </c>
      <c r="C55" s="56"/>
      <c r="D55" s="56"/>
      <c r="E55" s="56"/>
      <c r="F55" s="56"/>
      <c r="G55" s="56"/>
    </row>
    <row r="56" spans="2:27" s="27" customFormat="1" ht="15.6" x14ac:dyDescent="0.3">
      <c r="B56" s="80" t="s">
        <v>245</v>
      </c>
      <c r="C56" s="56"/>
      <c r="D56" s="56"/>
      <c r="E56" s="56"/>
      <c r="F56" s="56"/>
      <c r="G56" s="56"/>
    </row>
    <row r="57" spans="2:27" s="27" customFormat="1" ht="15.6" x14ac:dyDescent="0.3">
      <c r="B57" s="80" t="s">
        <v>246</v>
      </c>
      <c r="C57" s="56"/>
      <c r="D57" s="56"/>
      <c r="E57" s="56"/>
      <c r="F57" s="56"/>
      <c r="G57" s="56"/>
    </row>
    <row r="58" spans="2:27" s="27" customFormat="1" ht="15.6" x14ac:dyDescent="0.3">
      <c r="B58" s="80" t="s">
        <v>247</v>
      </c>
      <c r="C58" s="56"/>
      <c r="D58" s="56"/>
      <c r="E58" s="56"/>
      <c r="F58" s="56"/>
      <c r="G58" s="56"/>
    </row>
    <row r="59" spans="2:27" s="27" customFormat="1" ht="15.6" x14ac:dyDescent="0.3">
      <c r="B59" s="80"/>
      <c r="C59" s="56"/>
      <c r="D59" s="56"/>
      <c r="E59" s="56"/>
      <c r="F59" s="56"/>
      <c r="G59" s="56"/>
    </row>
    <row r="60" spans="2:27" s="27" customFormat="1" ht="15.6" x14ac:dyDescent="0.3">
      <c r="B60" s="80" t="s">
        <v>248</v>
      </c>
      <c r="C60" s="56"/>
      <c r="D60" s="56"/>
      <c r="E60" s="56"/>
      <c r="F60" s="56"/>
      <c r="G60" s="80" t="s">
        <v>249</v>
      </c>
    </row>
    <row r="61" spans="2:27" s="27" customFormat="1" ht="15.6" x14ac:dyDescent="0.3">
      <c r="C61" s="56"/>
      <c r="D61" s="56"/>
      <c r="E61" s="56"/>
      <c r="F61" s="56"/>
      <c r="G61" s="98" t="s">
        <v>250</v>
      </c>
      <c r="H61" s="98"/>
      <c r="I61" s="98"/>
      <c r="J61" s="98"/>
      <c r="K61" s="98"/>
    </row>
    <row r="62" spans="2:27" s="27" customFormat="1" ht="12" x14ac:dyDescent="0.3">
      <c r="B62" s="26"/>
      <c r="C62" s="26"/>
      <c r="D62" s="26"/>
      <c r="E62" s="26"/>
      <c r="F62" s="26"/>
    </row>
    <row r="63" spans="2:27" s="27" customFormat="1" ht="12" x14ac:dyDescent="0.3">
      <c r="B63" s="26"/>
      <c r="C63" s="26"/>
      <c r="D63" s="26"/>
      <c r="E63" s="26"/>
      <c r="F63" s="26"/>
    </row>
    <row r="64" spans="2:27" s="27" customFormat="1" ht="12" x14ac:dyDescent="0.3">
      <c r="B64" s="26"/>
      <c r="C64" s="26"/>
      <c r="D64" s="26"/>
      <c r="E64" s="26"/>
      <c r="F64" s="26"/>
    </row>
    <row r="65" spans="2:32" s="27" customFormat="1" ht="12" x14ac:dyDescent="0.3">
      <c r="B65" s="26"/>
      <c r="C65" s="26"/>
      <c r="D65" s="26"/>
      <c r="E65" s="26"/>
      <c r="F65" s="26"/>
    </row>
    <row r="66" spans="2:32" s="27" customFormat="1" ht="12" x14ac:dyDescent="0.3">
      <c r="B66" s="26"/>
      <c r="C66" s="26"/>
      <c r="D66" s="26"/>
      <c r="E66" s="26"/>
      <c r="F66" s="26"/>
    </row>
    <row r="67" spans="2:32" s="27" customFormat="1" ht="12" x14ac:dyDescent="0.3">
      <c r="B67" s="26"/>
      <c r="C67" s="26"/>
      <c r="D67" s="26"/>
      <c r="E67" s="26"/>
      <c r="F67" s="26"/>
    </row>
    <row r="68" spans="2:32" s="27" customFormat="1" ht="12" x14ac:dyDescent="0.3">
      <c r="F68" s="54"/>
    </row>
    <row r="69" spans="2:32" ht="18" customHeight="1" x14ac:dyDescent="0.3">
      <c r="B69" s="125" t="s">
        <v>0</v>
      </c>
      <c r="C69" s="126" t="s">
        <v>1</v>
      </c>
      <c r="D69" s="126" t="s">
        <v>2</v>
      </c>
      <c r="E69" s="124" t="s">
        <v>3</v>
      </c>
      <c r="F69" s="137" t="s">
        <v>128</v>
      </c>
      <c r="G69" s="138"/>
      <c r="H69" s="124" t="s">
        <v>4</v>
      </c>
      <c r="I69" s="124"/>
      <c r="J69" s="124"/>
      <c r="K69" s="124" t="s">
        <v>5</v>
      </c>
      <c r="L69" s="124"/>
      <c r="M69" s="124"/>
      <c r="N69" s="124" t="s">
        <v>6</v>
      </c>
      <c r="O69" s="124"/>
      <c r="P69" s="124"/>
      <c r="Q69" s="124" t="s">
        <v>7</v>
      </c>
      <c r="R69" s="124"/>
      <c r="S69" s="124"/>
      <c r="T69" s="117" t="s">
        <v>8</v>
      </c>
      <c r="U69" s="118"/>
      <c r="V69" s="119"/>
      <c r="W69" s="117" t="s">
        <v>9</v>
      </c>
      <c r="X69" s="118"/>
      <c r="Y69" s="119"/>
      <c r="Z69" s="117" t="s">
        <v>10</v>
      </c>
      <c r="AA69" s="118"/>
      <c r="AB69" s="119"/>
      <c r="AC69" s="124" t="s">
        <v>11</v>
      </c>
      <c r="AD69" s="124"/>
    </row>
    <row r="70" spans="2:32" ht="55.2" customHeight="1" x14ac:dyDescent="0.3">
      <c r="B70" s="125"/>
      <c r="C70" s="126"/>
      <c r="D70" s="126"/>
      <c r="E70" s="124"/>
      <c r="F70" s="139"/>
      <c r="G70" s="140"/>
      <c r="H70" s="64" t="s">
        <v>127</v>
      </c>
      <c r="I70" s="124" t="s">
        <v>116</v>
      </c>
      <c r="J70" s="124"/>
      <c r="K70" s="64" t="s">
        <v>127</v>
      </c>
      <c r="L70" s="124" t="s">
        <v>116</v>
      </c>
      <c r="M70" s="124"/>
      <c r="N70" s="64" t="s">
        <v>127</v>
      </c>
      <c r="O70" s="124" t="s">
        <v>116</v>
      </c>
      <c r="P70" s="124"/>
      <c r="Q70" s="64" t="s">
        <v>127</v>
      </c>
      <c r="R70" s="124" t="s">
        <v>116</v>
      </c>
      <c r="S70" s="124"/>
      <c r="T70" s="64" t="s">
        <v>127</v>
      </c>
      <c r="U70" s="124" t="s">
        <v>116</v>
      </c>
      <c r="V70" s="124"/>
      <c r="W70" s="64" t="s">
        <v>127</v>
      </c>
      <c r="X70" s="124" t="s">
        <v>116</v>
      </c>
      <c r="Y70" s="124"/>
      <c r="Z70" s="64" t="s">
        <v>127</v>
      </c>
      <c r="AA70" s="124" t="s">
        <v>116</v>
      </c>
      <c r="AB70" s="124"/>
      <c r="AC70" s="124" t="s">
        <v>127</v>
      </c>
      <c r="AD70" s="124"/>
    </row>
    <row r="71" spans="2:32" ht="18" customHeight="1" x14ac:dyDescent="0.3">
      <c r="B71" s="125"/>
      <c r="C71" s="126"/>
      <c r="D71" s="126"/>
      <c r="E71" s="124"/>
      <c r="F71" s="139"/>
      <c r="G71" s="140"/>
      <c r="H71" s="66">
        <v>54</v>
      </c>
      <c r="I71" s="122">
        <v>1302.95</v>
      </c>
      <c r="J71" s="122"/>
      <c r="K71" s="66">
        <v>135</v>
      </c>
      <c r="L71" s="122">
        <v>1738</v>
      </c>
      <c r="M71" s="122"/>
      <c r="N71" s="66">
        <v>7</v>
      </c>
      <c r="O71" s="122">
        <v>1302.95</v>
      </c>
      <c r="P71" s="122"/>
      <c r="Q71" s="66">
        <v>0</v>
      </c>
      <c r="R71" s="122">
        <v>1826.64</v>
      </c>
      <c r="S71" s="122"/>
      <c r="T71" s="66">
        <v>8</v>
      </c>
      <c r="U71" s="122">
        <v>4440</v>
      </c>
      <c r="V71" s="122"/>
      <c r="W71" s="66">
        <v>0</v>
      </c>
      <c r="X71" s="122">
        <v>5030</v>
      </c>
      <c r="Y71" s="122"/>
      <c r="Z71" s="66">
        <v>30</v>
      </c>
      <c r="AA71" s="122">
        <v>2220</v>
      </c>
      <c r="AB71" s="122"/>
      <c r="AC71" s="123">
        <f>Z71+W71+T71+Q71+N71+K71+H71</f>
        <v>234</v>
      </c>
      <c r="AD71" s="123"/>
    </row>
    <row r="72" spans="2:32" ht="18" customHeight="1" x14ac:dyDescent="0.3">
      <c r="B72" s="125"/>
      <c r="C72" s="126"/>
      <c r="D72" s="126"/>
      <c r="E72" s="124"/>
      <c r="F72" s="139"/>
      <c r="G72" s="140"/>
      <c r="H72" s="117" t="s">
        <v>120</v>
      </c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9"/>
      <c r="AC72" s="120" t="s">
        <v>121</v>
      </c>
      <c r="AD72" s="120" t="s">
        <v>122</v>
      </c>
    </row>
    <row r="73" spans="2:32" ht="37.200000000000003" customHeight="1" x14ac:dyDescent="0.3">
      <c r="B73" s="125"/>
      <c r="C73" s="126"/>
      <c r="D73" s="126"/>
      <c r="E73" s="124"/>
      <c r="F73" s="141"/>
      <c r="G73" s="142"/>
      <c r="H73" s="64" t="s">
        <v>117</v>
      </c>
      <c r="I73" s="64" t="s">
        <v>118</v>
      </c>
      <c r="J73" s="64" t="s">
        <v>119</v>
      </c>
      <c r="K73" s="64" t="s">
        <v>117</v>
      </c>
      <c r="L73" s="64" t="s">
        <v>118</v>
      </c>
      <c r="M73" s="64" t="s">
        <v>119</v>
      </c>
      <c r="N73" s="64" t="s">
        <v>117</v>
      </c>
      <c r="O73" s="64" t="s">
        <v>118</v>
      </c>
      <c r="P73" s="64" t="s">
        <v>119</v>
      </c>
      <c r="Q73" s="64" t="s">
        <v>117</v>
      </c>
      <c r="R73" s="64" t="s">
        <v>118</v>
      </c>
      <c r="S73" s="64" t="s">
        <v>119</v>
      </c>
      <c r="T73" s="64" t="s">
        <v>117</v>
      </c>
      <c r="U73" s="64" t="s">
        <v>118</v>
      </c>
      <c r="V73" s="64" t="s">
        <v>119</v>
      </c>
      <c r="W73" s="64" t="s">
        <v>117</v>
      </c>
      <c r="X73" s="64" t="s">
        <v>118</v>
      </c>
      <c r="Y73" s="64" t="s">
        <v>119</v>
      </c>
      <c r="Z73" s="64" t="s">
        <v>117</v>
      </c>
      <c r="AA73" s="64" t="s">
        <v>118</v>
      </c>
      <c r="AB73" s="64" t="s">
        <v>119</v>
      </c>
      <c r="AC73" s="121"/>
      <c r="AD73" s="121"/>
    </row>
    <row r="74" spans="2:32" ht="18" customHeight="1" x14ac:dyDescent="0.3">
      <c r="B74" s="146" t="s">
        <v>13</v>
      </c>
      <c r="C74" s="126" t="s">
        <v>12</v>
      </c>
      <c r="D74" s="5" t="s">
        <v>14</v>
      </c>
      <c r="E74" s="1" t="s">
        <v>12</v>
      </c>
      <c r="F74" s="131" t="s">
        <v>145</v>
      </c>
      <c r="G74" s="132"/>
      <c r="H74" s="6">
        <f>I71/28*26</f>
        <v>1209.882142857143</v>
      </c>
      <c r="I74" s="6">
        <f>H74*H71</f>
        <v>65333.635714285723</v>
      </c>
      <c r="J74" s="6">
        <f>I74*28</f>
        <v>1829341.8000000003</v>
      </c>
      <c r="K74" s="6">
        <f>L71/28*26</f>
        <v>1613.8571428571429</v>
      </c>
      <c r="L74" s="6">
        <f>K74*K71</f>
        <v>217870.71428571429</v>
      </c>
      <c r="M74" s="6">
        <f>L74*28</f>
        <v>6100380</v>
      </c>
      <c r="N74" s="6">
        <f>O71/28*26</f>
        <v>1209.882142857143</v>
      </c>
      <c r="O74" s="6">
        <f>N74*N71</f>
        <v>8469.1750000000011</v>
      </c>
      <c r="P74" s="6">
        <f>O74*28</f>
        <v>237136.90000000002</v>
      </c>
      <c r="Q74" s="6">
        <f>R71/28*26</f>
        <v>1696.1657142857143</v>
      </c>
      <c r="R74" s="6">
        <f>Q74*Q71</f>
        <v>0</v>
      </c>
      <c r="S74" s="6">
        <f>R74*28</f>
        <v>0</v>
      </c>
      <c r="T74" s="6">
        <f>U71/28*26</f>
        <v>4122.8571428571431</v>
      </c>
      <c r="U74" s="6">
        <f>T74*T71</f>
        <v>32982.857142857145</v>
      </c>
      <c r="V74" s="6">
        <f>U74*28</f>
        <v>923520</v>
      </c>
      <c r="W74" s="6">
        <f>X71/28*26</f>
        <v>4670.7142857142853</v>
      </c>
      <c r="X74" s="6">
        <f>W74*W71</f>
        <v>0</v>
      </c>
      <c r="Y74" s="6">
        <f>X74*28</f>
        <v>0</v>
      </c>
      <c r="Z74" s="6">
        <f>AA71/28*26</f>
        <v>2061.4285714285716</v>
      </c>
      <c r="AA74" s="6">
        <f>Z74*Z71</f>
        <v>61842.857142857145</v>
      </c>
      <c r="AB74" s="6">
        <f>AA74*28</f>
        <v>1731600</v>
      </c>
      <c r="AC74" s="6">
        <f>SUM(I74,L74,O74,R74,U74,X74,AA74)</f>
        <v>386499.23928571434</v>
      </c>
      <c r="AD74" s="6">
        <f>SUM(J74,M74,P74,S74,V74,Y74,AB74)</f>
        <v>10821978.700000001</v>
      </c>
      <c r="AF74" s="58"/>
    </row>
    <row r="75" spans="2:32" ht="18" customHeight="1" x14ac:dyDescent="0.3">
      <c r="B75" s="146"/>
      <c r="C75" s="126"/>
      <c r="D75" s="5" t="s">
        <v>15</v>
      </c>
      <c r="E75" s="1" t="s">
        <v>16</v>
      </c>
      <c r="F75" s="15" t="s">
        <v>136</v>
      </c>
      <c r="G75" s="7">
        <v>0.08</v>
      </c>
      <c r="H75" s="6">
        <f>H74*$G$75</f>
        <v>96.79057142857144</v>
      </c>
      <c r="I75" s="6">
        <f>H75*H71</f>
        <v>5226.6908571428576</v>
      </c>
      <c r="J75" s="6">
        <f t="shared" ref="J75:J138" si="0">I75*28</f>
        <v>146347.34400000001</v>
      </c>
      <c r="K75" s="6">
        <f>K74*$G$75</f>
        <v>129.10857142857142</v>
      </c>
      <c r="L75" s="6">
        <f>K75*K71</f>
        <v>17429.657142857141</v>
      </c>
      <c r="M75" s="6">
        <f t="shared" ref="M75:M82" si="1">L75*28</f>
        <v>488030.39999999991</v>
      </c>
      <c r="N75" s="6">
        <f>N74*$G$75</f>
        <v>96.79057142857144</v>
      </c>
      <c r="O75" s="6">
        <f>N75*N71</f>
        <v>677.53400000000011</v>
      </c>
      <c r="P75" s="6">
        <f t="shared" ref="P75:P82" si="2">O75*28</f>
        <v>18970.952000000005</v>
      </c>
      <c r="Q75" s="6">
        <f>Q74*$G$75</f>
        <v>135.69325714285714</v>
      </c>
      <c r="R75" s="6">
        <f>Q75*Q71</f>
        <v>0</v>
      </c>
      <c r="S75" s="6">
        <f t="shared" ref="S75:S82" si="3">R75*28</f>
        <v>0</v>
      </c>
      <c r="T75" s="6">
        <f>T74*$G$75</f>
        <v>329.82857142857148</v>
      </c>
      <c r="U75" s="6">
        <f>T75*T71</f>
        <v>2638.6285714285718</v>
      </c>
      <c r="V75" s="6">
        <f t="shared" ref="V75:V82" si="4">U75*28</f>
        <v>73881.600000000006</v>
      </c>
      <c r="W75" s="6">
        <f>W74*$G$75</f>
        <v>373.65714285714284</v>
      </c>
      <c r="X75" s="6">
        <f>W75*W71</f>
        <v>0</v>
      </c>
      <c r="Y75" s="6">
        <f t="shared" ref="Y75:Y82" si="5">X75*28</f>
        <v>0</v>
      </c>
      <c r="Z75" s="6">
        <f>Z74*$G$75</f>
        <v>164.91428571428574</v>
      </c>
      <c r="AA75" s="6">
        <f>Z75*Z71</f>
        <v>4947.4285714285725</v>
      </c>
      <c r="AB75" s="6">
        <f t="shared" ref="AB75:AB82" si="6">AA75*28</f>
        <v>138528.00000000003</v>
      </c>
      <c r="AC75" s="6">
        <f t="shared" ref="AC75:AC82" si="7">SUM(I75,L75,O75,R75,U75,X75,AA75)</f>
        <v>30919.939142857143</v>
      </c>
      <c r="AD75" s="6">
        <f t="shared" ref="AD75:AD82" si="8">SUM(J75,M75,P75,S75,V75,Y75,AB75)</f>
        <v>865758.29599999997</v>
      </c>
      <c r="AF75" s="58"/>
    </row>
    <row r="76" spans="2:32" ht="18" customHeight="1" x14ac:dyDescent="0.3">
      <c r="B76" s="146"/>
      <c r="C76" s="126"/>
      <c r="D76" s="5" t="s">
        <v>17</v>
      </c>
      <c r="E76" s="1" t="s">
        <v>18</v>
      </c>
      <c r="F76" s="15" t="s">
        <v>137</v>
      </c>
      <c r="G76" s="7">
        <v>0</v>
      </c>
      <c r="H76" s="6">
        <f>H74*$G$76</f>
        <v>0</v>
      </c>
      <c r="I76" s="6">
        <f>H76*H71</f>
        <v>0</v>
      </c>
      <c r="J76" s="6">
        <f t="shared" si="0"/>
        <v>0</v>
      </c>
      <c r="K76" s="6">
        <f>K74*$G$76</f>
        <v>0</v>
      </c>
      <c r="L76" s="6">
        <f>K76*K71</f>
        <v>0</v>
      </c>
      <c r="M76" s="6">
        <f t="shared" si="1"/>
        <v>0</v>
      </c>
      <c r="N76" s="6">
        <f>N74*$G$76</f>
        <v>0</v>
      </c>
      <c r="O76" s="6">
        <f>N76*N71</f>
        <v>0</v>
      </c>
      <c r="P76" s="6">
        <f t="shared" si="2"/>
        <v>0</v>
      </c>
      <c r="Q76" s="6">
        <f>Q74*$G$76</f>
        <v>0</v>
      </c>
      <c r="R76" s="6">
        <f>Q76*Q71</f>
        <v>0</v>
      </c>
      <c r="S76" s="6">
        <f t="shared" si="3"/>
        <v>0</v>
      </c>
      <c r="T76" s="6">
        <f>T74*$G$76</f>
        <v>0</v>
      </c>
      <c r="U76" s="6">
        <f>T76*T71</f>
        <v>0</v>
      </c>
      <c r="V76" s="6">
        <f t="shared" si="4"/>
        <v>0</v>
      </c>
      <c r="W76" s="6">
        <f>W74*$G$76</f>
        <v>0</v>
      </c>
      <c r="X76" s="6">
        <f>W76*W71</f>
        <v>0</v>
      </c>
      <c r="Y76" s="6">
        <f t="shared" si="5"/>
        <v>0</v>
      </c>
      <c r="Z76" s="6">
        <f>Z74*$G$76</f>
        <v>0</v>
      </c>
      <c r="AA76" s="6">
        <f>Z76*Z71</f>
        <v>0</v>
      </c>
      <c r="AB76" s="6">
        <f t="shared" si="6"/>
        <v>0</v>
      </c>
      <c r="AC76" s="6">
        <f t="shared" si="7"/>
        <v>0</v>
      </c>
      <c r="AD76" s="6">
        <f t="shared" si="8"/>
        <v>0</v>
      </c>
      <c r="AF76" s="58"/>
    </row>
    <row r="77" spans="2:32" ht="18" customHeight="1" x14ac:dyDescent="0.3">
      <c r="B77" s="146"/>
      <c r="C77" s="126"/>
      <c r="D77" s="5" t="s">
        <v>19</v>
      </c>
      <c r="E77" s="1" t="s">
        <v>20</v>
      </c>
      <c r="F77" s="15" t="s">
        <v>138</v>
      </c>
      <c r="G77" s="7">
        <v>2E-3</v>
      </c>
      <c r="H77" s="6">
        <f>H74*$G$77</f>
        <v>2.4197642857142858</v>
      </c>
      <c r="I77" s="6">
        <f>H77*H71</f>
        <v>130.66727142857144</v>
      </c>
      <c r="J77" s="6">
        <f t="shared" si="0"/>
        <v>3658.6836000000003</v>
      </c>
      <c r="K77" s="6">
        <f>K74*$G$77</f>
        <v>3.2277142857142858</v>
      </c>
      <c r="L77" s="6">
        <f>K77*K71</f>
        <v>435.74142857142857</v>
      </c>
      <c r="M77" s="6">
        <f t="shared" si="1"/>
        <v>12200.76</v>
      </c>
      <c r="N77" s="6">
        <f>N74*$G$77</f>
        <v>2.4197642857142858</v>
      </c>
      <c r="O77" s="6">
        <f>N77*N71</f>
        <v>16.93835</v>
      </c>
      <c r="P77" s="6">
        <f t="shared" si="2"/>
        <v>474.27379999999999</v>
      </c>
      <c r="Q77" s="6">
        <f>Q74*$G$77</f>
        <v>3.3923314285714286</v>
      </c>
      <c r="R77" s="6">
        <f>Q77*Q71</f>
        <v>0</v>
      </c>
      <c r="S77" s="6">
        <f t="shared" si="3"/>
        <v>0</v>
      </c>
      <c r="T77" s="6">
        <f>T74*$G$77</f>
        <v>8.2457142857142856</v>
      </c>
      <c r="U77" s="6">
        <f>T77*T71</f>
        <v>65.965714285714284</v>
      </c>
      <c r="V77" s="6">
        <f t="shared" si="4"/>
        <v>1847.04</v>
      </c>
      <c r="W77" s="6">
        <f>W74*$G$77</f>
        <v>9.3414285714285707</v>
      </c>
      <c r="X77" s="6">
        <f>W77*W71</f>
        <v>0</v>
      </c>
      <c r="Y77" s="6">
        <f t="shared" si="5"/>
        <v>0</v>
      </c>
      <c r="Z77" s="6">
        <f>Z74*$G$77</f>
        <v>4.1228571428571428</v>
      </c>
      <c r="AA77" s="6">
        <f>Z77*Z71</f>
        <v>123.68571428571428</v>
      </c>
      <c r="AB77" s="6">
        <f t="shared" si="6"/>
        <v>3463.2</v>
      </c>
      <c r="AC77" s="6">
        <f t="shared" si="7"/>
        <v>772.99847857142856</v>
      </c>
      <c r="AD77" s="6">
        <f t="shared" si="8"/>
        <v>21643.957400000003</v>
      </c>
      <c r="AF77" s="58"/>
    </row>
    <row r="78" spans="2:32" ht="18" customHeight="1" x14ac:dyDescent="0.3">
      <c r="B78" s="146"/>
      <c r="C78" s="126"/>
      <c r="D78" s="5" t="s">
        <v>21</v>
      </c>
      <c r="E78" s="1" t="s">
        <v>210</v>
      </c>
      <c r="F78" s="15" t="s">
        <v>139</v>
      </c>
      <c r="G78" s="7">
        <v>0.01</v>
      </c>
      <c r="H78" s="6">
        <f>H74*$G$78</f>
        <v>12.09882142857143</v>
      </c>
      <c r="I78" s="6">
        <f>H78*H71</f>
        <v>653.3363571428572</v>
      </c>
      <c r="J78" s="6">
        <f t="shared" si="0"/>
        <v>18293.418000000001</v>
      </c>
      <c r="K78" s="6">
        <f>K74*$G$78</f>
        <v>16.138571428571428</v>
      </c>
      <c r="L78" s="6">
        <f>K78*K71</f>
        <v>2178.7071428571426</v>
      </c>
      <c r="M78" s="6">
        <f t="shared" si="1"/>
        <v>61003.799999999988</v>
      </c>
      <c r="N78" s="6">
        <f>N74*$G$78</f>
        <v>12.09882142857143</v>
      </c>
      <c r="O78" s="6">
        <f>N78*N71</f>
        <v>84.691750000000013</v>
      </c>
      <c r="P78" s="6">
        <f t="shared" si="2"/>
        <v>2371.3690000000006</v>
      </c>
      <c r="Q78" s="6">
        <f>Q74*$G$78</f>
        <v>16.961657142857142</v>
      </c>
      <c r="R78" s="6">
        <f>Q78*Q71</f>
        <v>0</v>
      </c>
      <c r="S78" s="6">
        <f t="shared" si="3"/>
        <v>0</v>
      </c>
      <c r="T78" s="6">
        <f>T74*$G$78</f>
        <v>41.228571428571435</v>
      </c>
      <c r="U78" s="6">
        <f>T78*T71</f>
        <v>329.82857142857148</v>
      </c>
      <c r="V78" s="6">
        <f t="shared" si="4"/>
        <v>9235.2000000000007</v>
      </c>
      <c r="W78" s="6">
        <f>W74*$G$78</f>
        <v>46.707142857142856</v>
      </c>
      <c r="X78" s="6">
        <f>W78*W71</f>
        <v>0</v>
      </c>
      <c r="Y78" s="6">
        <f t="shared" si="5"/>
        <v>0</v>
      </c>
      <c r="Z78" s="6">
        <f>Z74*$G$78</f>
        <v>20.614285714285717</v>
      </c>
      <c r="AA78" s="6">
        <f>Z78*Z71</f>
        <v>618.42857142857156</v>
      </c>
      <c r="AB78" s="6">
        <f t="shared" si="6"/>
        <v>17316.000000000004</v>
      </c>
      <c r="AC78" s="6">
        <f t="shared" si="7"/>
        <v>3864.9923928571429</v>
      </c>
      <c r="AD78" s="6">
        <f t="shared" si="8"/>
        <v>108219.787</v>
      </c>
      <c r="AF78" s="58"/>
    </row>
    <row r="79" spans="2:32" ht="18" customHeight="1" x14ac:dyDescent="0.3">
      <c r="B79" s="146"/>
      <c r="C79" s="126"/>
      <c r="D79" s="5" t="s">
        <v>22</v>
      </c>
      <c r="E79" s="1" t="s">
        <v>211</v>
      </c>
      <c r="F79" s="15" t="s">
        <v>140</v>
      </c>
      <c r="G79" s="7">
        <v>1.4999999999999999E-2</v>
      </c>
      <c r="H79" s="6">
        <f>H74*$G$79</f>
        <v>18.148232142857143</v>
      </c>
      <c r="I79" s="6">
        <f>H79*H71</f>
        <v>980.00453571428568</v>
      </c>
      <c r="J79" s="6">
        <f t="shared" si="0"/>
        <v>27440.127</v>
      </c>
      <c r="K79" s="6">
        <f>K74*$G$79</f>
        <v>24.207857142857144</v>
      </c>
      <c r="L79" s="6">
        <f>K79*K71</f>
        <v>3268.0607142857143</v>
      </c>
      <c r="M79" s="6">
        <f t="shared" si="1"/>
        <v>91505.7</v>
      </c>
      <c r="N79" s="6">
        <f>N74*$G$79</f>
        <v>18.148232142857143</v>
      </c>
      <c r="O79" s="6">
        <f>N79*N71</f>
        <v>127.03762500000001</v>
      </c>
      <c r="P79" s="6">
        <f t="shared" si="2"/>
        <v>3557.0535</v>
      </c>
      <c r="Q79" s="6">
        <f>Q74*$G$79</f>
        <v>25.442485714285713</v>
      </c>
      <c r="R79" s="6">
        <f>Q79*Q71</f>
        <v>0</v>
      </c>
      <c r="S79" s="6">
        <f t="shared" si="3"/>
        <v>0</v>
      </c>
      <c r="T79" s="6">
        <f>T74*$G$79</f>
        <v>61.842857142857142</v>
      </c>
      <c r="U79" s="6">
        <f>T79*T71</f>
        <v>494.74285714285713</v>
      </c>
      <c r="V79" s="6">
        <f t="shared" si="4"/>
        <v>13852.8</v>
      </c>
      <c r="W79" s="6">
        <f>W74*$G$79</f>
        <v>70.060714285714283</v>
      </c>
      <c r="X79" s="6">
        <f>W79*W71</f>
        <v>0</v>
      </c>
      <c r="Y79" s="6">
        <f t="shared" si="5"/>
        <v>0</v>
      </c>
      <c r="Z79" s="6">
        <f>Z74*$G$79</f>
        <v>30.921428571428571</v>
      </c>
      <c r="AA79" s="6">
        <f>Z79*Z71</f>
        <v>927.64285714285711</v>
      </c>
      <c r="AB79" s="6">
        <f t="shared" si="6"/>
        <v>25974</v>
      </c>
      <c r="AC79" s="6">
        <f t="shared" si="7"/>
        <v>5797.4885892857137</v>
      </c>
      <c r="AD79" s="6">
        <f t="shared" si="8"/>
        <v>162329.68049999999</v>
      </c>
      <c r="AF79" s="58"/>
    </row>
    <row r="80" spans="2:32" ht="18" customHeight="1" x14ac:dyDescent="0.3">
      <c r="B80" s="146"/>
      <c r="C80" s="126"/>
      <c r="D80" s="5" t="s">
        <v>23</v>
      </c>
      <c r="E80" s="1" t="s">
        <v>24</v>
      </c>
      <c r="F80" s="15" t="s">
        <v>141</v>
      </c>
      <c r="G80" s="7">
        <v>6.0000000000000001E-3</v>
      </c>
      <c r="H80" s="6">
        <f>H74*$G$80</f>
        <v>7.2592928571428583</v>
      </c>
      <c r="I80" s="6">
        <f>H80*H71</f>
        <v>392.00181428571437</v>
      </c>
      <c r="J80" s="6">
        <f t="shared" si="0"/>
        <v>10976.050800000003</v>
      </c>
      <c r="K80" s="6">
        <f>K74*$G$80</f>
        <v>9.6831428571428582</v>
      </c>
      <c r="L80" s="6">
        <f>K80*K71</f>
        <v>1307.2242857142858</v>
      </c>
      <c r="M80" s="6">
        <f t="shared" si="1"/>
        <v>36602.28</v>
      </c>
      <c r="N80" s="6">
        <f>N74*$G$80</f>
        <v>7.2592928571428583</v>
      </c>
      <c r="O80" s="6">
        <f>N80*N71</f>
        <v>50.815050000000006</v>
      </c>
      <c r="P80" s="6">
        <f t="shared" si="2"/>
        <v>1422.8214000000003</v>
      </c>
      <c r="Q80" s="6">
        <f>Q74*$G$80</f>
        <v>10.176994285714287</v>
      </c>
      <c r="R80" s="6">
        <f>Q80*Q71</f>
        <v>0</v>
      </c>
      <c r="S80" s="6">
        <f t="shared" si="3"/>
        <v>0</v>
      </c>
      <c r="T80" s="6">
        <f>T74*$G$80</f>
        <v>24.73714285714286</v>
      </c>
      <c r="U80" s="6">
        <f>T80*T71</f>
        <v>197.89714285714288</v>
      </c>
      <c r="V80" s="6">
        <f t="shared" si="4"/>
        <v>5541.1200000000008</v>
      </c>
      <c r="W80" s="6">
        <f>W74*$G$80</f>
        <v>28.024285714285714</v>
      </c>
      <c r="X80" s="6">
        <f>W80*W71</f>
        <v>0</v>
      </c>
      <c r="Y80" s="6">
        <f t="shared" si="5"/>
        <v>0</v>
      </c>
      <c r="Z80" s="6">
        <f>Z74*$G$80</f>
        <v>12.36857142857143</v>
      </c>
      <c r="AA80" s="6">
        <f>Z80*Z71</f>
        <v>371.05714285714288</v>
      </c>
      <c r="AB80" s="6">
        <f t="shared" si="6"/>
        <v>10389.6</v>
      </c>
      <c r="AC80" s="6">
        <f t="shared" si="7"/>
        <v>2318.9954357142856</v>
      </c>
      <c r="AD80" s="6">
        <f t="shared" si="8"/>
        <v>64931.872200000005</v>
      </c>
      <c r="AF80" s="58"/>
    </row>
    <row r="81" spans="2:32" ht="18" customHeight="1" x14ac:dyDescent="0.3">
      <c r="B81" s="146"/>
      <c r="C81" s="126"/>
      <c r="D81" s="5" t="s">
        <v>25</v>
      </c>
      <c r="E81" s="1" t="s">
        <v>26</v>
      </c>
      <c r="F81" s="15" t="s">
        <v>142</v>
      </c>
      <c r="G81" s="7">
        <v>2.5000000000000001E-2</v>
      </c>
      <c r="H81" s="6">
        <f>H74*$G$81</f>
        <v>30.247053571428577</v>
      </c>
      <c r="I81" s="6">
        <f>H81*H71</f>
        <v>1633.3408928571432</v>
      </c>
      <c r="J81" s="6">
        <f t="shared" si="0"/>
        <v>45733.545000000013</v>
      </c>
      <c r="K81" s="6">
        <f>K74*$G$81</f>
        <v>40.346428571428575</v>
      </c>
      <c r="L81" s="6">
        <f>K81*K71</f>
        <v>5446.7678571428578</v>
      </c>
      <c r="M81" s="6">
        <f t="shared" si="1"/>
        <v>152509.50000000003</v>
      </c>
      <c r="N81" s="6">
        <f>N74*$G$81</f>
        <v>30.247053571428577</v>
      </c>
      <c r="O81" s="6">
        <f>N81*N71</f>
        <v>211.72937500000003</v>
      </c>
      <c r="P81" s="6">
        <f t="shared" si="2"/>
        <v>5928.4225000000006</v>
      </c>
      <c r="Q81" s="6">
        <f>Q74*$G$81</f>
        <v>42.404142857142858</v>
      </c>
      <c r="R81" s="6">
        <f>Q81*Q71</f>
        <v>0</v>
      </c>
      <c r="S81" s="6">
        <f t="shared" si="3"/>
        <v>0</v>
      </c>
      <c r="T81" s="6">
        <f>T74*$G$81</f>
        <v>103.07142857142858</v>
      </c>
      <c r="U81" s="6">
        <f>T81*T71</f>
        <v>824.57142857142867</v>
      </c>
      <c r="V81" s="6">
        <f t="shared" si="4"/>
        <v>23088.000000000004</v>
      </c>
      <c r="W81" s="6">
        <f>W74*$G$81</f>
        <v>116.76785714285714</v>
      </c>
      <c r="X81" s="6">
        <f>W81*W71</f>
        <v>0</v>
      </c>
      <c r="Y81" s="6">
        <f t="shared" si="5"/>
        <v>0</v>
      </c>
      <c r="Z81" s="6">
        <f>Z74*$G$81</f>
        <v>51.535714285714292</v>
      </c>
      <c r="AA81" s="6">
        <f>Z81*Z71</f>
        <v>1546.0714285714287</v>
      </c>
      <c r="AB81" s="6">
        <f t="shared" si="6"/>
        <v>43290</v>
      </c>
      <c r="AC81" s="6">
        <f t="shared" si="7"/>
        <v>9662.4809821428589</v>
      </c>
      <c r="AD81" s="6">
        <f t="shared" si="8"/>
        <v>270549.46750000003</v>
      </c>
      <c r="AF81" s="58"/>
    </row>
    <row r="82" spans="2:32" ht="18" customHeight="1" x14ac:dyDescent="0.3">
      <c r="B82" s="146"/>
      <c r="C82" s="126"/>
      <c r="D82" s="5" t="s">
        <v>27</v>
      </c>
      <c r="E82" s="1" t="s">
        <v>28</v>
      </c>
      <c r="F82" s="15" t="s">
        <v>287</v>
      </c>
      <c r="G82" s="95">
        <v>2.8997999999999999E-2</v>
      </c>
      <c r="H82" s="6">
        <f>H74*$G$82</f>
        <v>35.084162378571435</v>
      </c>
      <c r="I82" s="6">
        <f>H82*H71</f>
        <v>1894.5447684428575</v>
      </c>
      <c r="J82" s="6">
        <f t="shared" si="0"/>
        <v>53047.253516400007</v>
      </c>
      <c r="K82" s="6">
        <f>K74*$G$82</f>
        <v>46.798629428571431</v>
      </c>
      <c r="L82" s="6">
        <f>K82*K71</f>
        <v>6317.8149728571434</v>
      </c>
      <c r="M82" s="6">
        <f t="shared" si="1"/>
        <v>176898.81924000001</v>
      </c>
      <c r="N82" s="6">
        <f>N74*$G$82</f>
        <v>35.084162378571435</v>
      </c>
      <c r="O82" s="6">
        <f>N82*N71</f>
        <v>245.58913665000006</v>
      </c>
      <c r="P82" s="6">
        <f t="shared" si="2"/>
        <v>6876.4958262000018</v>
      </c>
      <c r="Q82" s="6">
        <f>Q74*$G$82</f>
        <v>49.185413382857142</v>
      </c>
      <c r="R82" s="6">
        <f>Q82*Q71</f>
        <v>0</v>
      </c>
      <c r="S82" s="6">
        <f t="shared" si="3"/>
        <v>0</v>
      </c>
      <c r="T82" s="6">
        <f>T74*$G$82</f>
        <v>119.55461142857143</v>
      </c>
      <c r="U82" s="6">
        <f>T82*T71</f>
        <v>956.43689142857147</v>
      </c>
      <c r="V82" s="6">
        <f t="shared" si="4"/>
        <v>26780.232960000001</v>
      </c>
      <c r="W82" s="6">
        <f>W74*$G$82</f>
        <v>135.44137285714285</v>
      </c>
      <c r="X82" s="6">
        <f>W82*W71</f>
        <v>0</v>
      </c>
      <c r="Y82" s="6">
        <f t="shared" si="5"/>
        <v>0</v>
      </c>
      <c r="Z82" s="6">
        <f>Z74*$G$82</f>
        <v>59.777305714285717</v>
      </c>
      <c r="AA82" s="6">
        <f>Z82*Z71</f>
        <v>1793.3191714285715</v>
      </c>
      <c r="AB82" s="6">
        <f t="shared" si="6"/>
        <v>50212.936800000003</v>
      </c>
      <c r="AC82" s="6">
        <f t="shared" si="7"/>
        <v>11207.704940807143</v>
      </c>
      <c r="AD82" s="6">
        <f t="shared" si="8"/>
        <v>313815.73834260006</v>
      </c>
      <c r="AF82" s="58"/>
    </row>
    <row r="83" spans="2:32" ht="18" customHeight="1" x14ac:dyDescent="0.3">
      <c r="B83" s="146"/>
      <c r="C83" s="126"/>
      <c r="D83" s="65" t="s">
        <v>29</v>
      </c>
      <c r="E83" s="2" t="s">
        <v>30</v>
      </c>
      <c r="F83" s="127" t="s">
        <v>131</v>
      </c>
      <c r="G83" s="128"/>
      <c r="H83" s="12">
        <f>SUM(H74:H82)</f>
        <v>1411.9300409499999</v>
      </c>
      <c r="I83" s="20">
        <f t="shared" ref="I83:I89" si="9">H83*$H$71</f>
        <v>76244.222211300003</v>
      </c>
      <c r="J83" s="12">
        <f>I83*28</f>
        <v>2134838.2219163999</v>
      </c>
      <c r="K83" s="12">
        <f>SUM(K74:K82)</f>
        <v>1883.368058</v>
      </c>
      <c r="L83" s="20">
        <f>K83*K71</f>
        <v>254254.68783000001</v>
      </c>
      <c r="M83" s="12">
        <f>L83*28</f>
        <v>7119131.2592400005</v>
      </c>
      <c r="N83" s="12">
        <f>SUM(N74:N82)</f>
        <v>1411.9300409499999</v>
      </c>
      <c r="O83" s="20">
        <f>N83*N71</f>
        <v>9883.5102866500001</v>
      </c>
      <c r="P83" s="12">
        <f>O83*28</f>
        <v>276738.28802620003</v>
      </c>
      <c r="Q83" s="12">
        <f>SUM(Q74:Q82)</f>
        <v>1979.4219962400002</v>
      </c>
      <c r="R83" s="20">
        <f>Q83*Q71</f>
        <v>0</v>
      </c>
      <c r="S83" s="12">
        <f>R83*28</f>
        <v>0</v>
      </c>
      <c r="T83" s="12">
        <f>SUM(T74:T82)</f>
        <v>4811.3660400000008</v>
      </c>
      <c r="U83" s="20">
        <f>T83*T71</f>
        <v>38490.928320000006</v>
      </c>
      <c r="V83" s="12">
        <f>U83*28</f>
        <v>1077745.9929600002</v>
      </c>
      <c r="W83" s="12">
        <f>SUM(W74:W82)</f>
        <v>5450.7142299999996</v>
      </c>
      <c r="X83" s="20">
        <f>W83*W71</f>
        <v>0</v>
      </c>
      <c r="Y83" s="12">
        <f>X83*28</f>
        <v>0</v>
      </c>
      <c r="Z83" s="12">
        <f>SUM(Z74:Z82)</f>
        <v>2405.6830200000004</v>
      </c>
      <c r="AA83" s="20">
        <f>Z83*Z71</f>
        <v>72170.490600000019</v>
      </c>
      <c r="AB83" s="12">
        <f>AA83*28</f>
        <v>2020773.7368000005</v>
      </c>
      <c r="AC83" s="24">
        <f t="shared" ref="AC83:AC147" si="10">SUM(I83,L83,O83,R83,U83,X83,AA83)</f>
        <v>451043.83924795</v>
      </c>
      <c r="AD83" s="24">
        <f t="shared" ref="AD83:AD147" si="11">SUM(J83,M83,P83,S83,V83,Y83,AB83)</f>
        <v>12629227.498942602</v>
      </c>
      <c r="AF83" s="58"/>
    </row>
    <row r="84" spans="2:32" ht="18" customHeight="1" x14ac:dyDescent="0.3">
      <c r="B84" s="146"/>
      <c r="C84" s="126" t="s">
        <v>123</v>
      </c>
      <c r="D84" s="5" t="s">
        <v>31</v>
      </c>
      <c r="E84" s="1" t="s">
        <v>32</v>
      </c>
      <c r="F84" s="25">
        <v>0</v>
      </c>
      <c r="G84" s="8">
        <v>0</v>
      </c>
      <c r="H84" s="6">
        <f>$F$84</f>
        <v>0</v>
      </c>
      <c r="I84" s="6">
        <f t="shared" si="9"/>
        <v>0</v>
      </c>
      <c r="J84" s="6">
        <f t="shared" si="0"/>
        <v>0</v>
      </c>
      <c r="K84" s="6">
        <f>$F$84</f>
        <v>0</v>
      </c>
      <c r="L84" s="6">
        <f>K84*K71</f>
        <v>0</v>
      </c>
      <c r="M84" s="6">
        <f t="shared" ref="M84:M88" si="12">L84*28</f>
        <v>0</v>
      </c>
      <c r="N84" s="6">
        <f>$F$84</f>
        <v>0</v>
      </c>
      <c r="O84" s="6">
        <f>N84*N71</f>
        <v>0</v>
      </c>
      <c r="P84" s="6">
        <f t="shared" ref="P84" si="13">O84*28</f>
        <v>0</v>
      </c>
      <c r="Q84" s="6">
        <f>$F$84</f>
        <v>0</v>
      </c>
      <c r="R84" s="6">
        <f>Q84*Q71</f>
        <v>0</v>
      </c>
      <c r="S84" s="6">
        <f t="shared" ref="S84:S88" si="14">R84*28</f>
        <v>0</v>
      </c>
      <c r="T84" s="6">
        <f>$G$84</f>
        <v>0</v>
      </c>
      <c r="U84" s="6">
        <f>T84*T71</f>
        <v>0</v>
      </c>
      <c r="V84" s="6">
        <f t="shared" ref="V84:V88" si="15">U84*28</f>
        <v>0</v>
      </c>
      <c r="W84" s="6">
        <f>$G$84</f>
        <v>0</v>
      </c>
      <c r="X84" s="6">
        <f>W84*W71</f>
        <v>0</v>
      </c>
      <c r="Y84" s="6">
        <f t="shared" ref="Y84:Y88" si="16">X84*28</f>
        <v>0</v>
      </c>
      <c r="Z84" s="6">
        <f>$G$84</f>
        <v>0</v>
      </c>
      <c r="AA84" s="6">
        <f>Z84*Z71</f>
        <v>0</v>
      </c>
      <c r="AB84" s="6">
        <f t="shared" ref="AB84:AB88" si="17">AA84*28</f>
        <v>0</v>
      </c>
      <c r="AC84" s="6">
        <f t="shared" si="10"/>
        <v>0</v>
      </c>
      <c r="AD84" s="6">
        <f t="shared" si="11"/>
        <v>0</v>
      </c>
      <c r="AF84" s="58"/>
    </row>
    <row r="85" spans="2:32" ht="18" customHeight="1" x14ac:dyDescent="0.3">
      <c r="B85" s="146"/>
      <c r="C85" s="126"/>
      <c r="D85" s="5" t="s">
        <v>33</v>
      </c>
      <c r="E85" s="1" t="s">
        <v>34</v>
      </c>
      <c r="F85" s="25">
        <f>21*0.99</f>
        <v>20.79</v>
      </c>
      <c r="G85" s="8">
        <v>33.619999999999997</v>
      </c>
      <c r="H85" s="6">
        <f>($F$85*21)/28*26</f>
        <v>405.40499999999997</v>
      </c>
      <c r="I85" s="6">
        <f t="shared" si="9"/>
        <v>21891.87</v>
      </c>
      <c r="J85" s="6">
        <f t="shared" si="0"/>
        <v>612972.36</v>
      </c>
      <c r="K85" s="6">
        <f>($F$85*21)/28*26</f>
        <v>405.40499999999997</v>
      </c>
      <c r="L85" s="6">
        <f>K85*K71</f>
        <v>54729.674999999996</v>
      </c>
      <c r="M85" s="6">
        <f t="shared" si="12"/>
        <v>1532430.9</v>
      </c>
      <c r="N85" s="6">
        <f>($F$85*21)/28*26</f>
        <v>405.40499999999997</v>
      </c>
      <c r="O85" s="6">
        <f>N85*N71</f>
        <v>2837.835</v>
      </c>
      <c r="P85" s="6">
        <f t="shared" ref="P85" si="18">O85*28</f>
        <v>79459.38</v>
      </c>
      <c r="Q85" s="6">
        <f>($F$85*21)/28*26</f>
        <v>405.40499999999997</v>
      </c>
      <c r="R85" s="6">
        <f>Q85*Q71</f>
        <v>0</v>
      </c>
      <c r="S85" s="6">
        <f t="shared" si="14"/>
        <v>0</v>
      </c>
      <c r="T85" s="6">
        <f>($G$85*21)/28*26</f>
        <v>655.59</v>
      </c>
      <c r="U85" s="6">
        <f>T85*T71</f>
        <v>5244.72</v>
      </c>
      <c r="V85" s="6">
        <f t="shared" si="15"/>
        <v>146852.16</v>
      </c>
      <c r="W85" s="6">
        <f>($G$85*21)/28*26</f>
        <v>655.59</v>
      </c>
      <c r="X85" s="6">
        <f>W85*W71</f>
        <v>0</v>
      </c>
      <c r="Y85" s="6">
        <f t="shared" si="16"/>
        <v>0</v>
      </c>
      <c r="Z85" s="6">
        <f>($G$85*21)/28*26</f>
        <v>655.59</v>
      </c>
      <c r="AA85" s="6">
        <f>Z85*Z71</f>
        <v>19667.7</v>
      </c>
      <c r="AB85" s="6">
        <f t="shared" si="17"/>
        <v>550695.6</v>
      </c>
      <c r="AC85" s="6">
        <f t="shared" si="10"/>
        <v>104371.8</v>
      </c>
      <c r="AD85" s="6">
        <f t="shared" si="11"/>
        <v>2922410.4</v>
      </c>
      <c r="AF85" s="58"/>
    </row>
    <row r="86" spans="2:32" ht="18" customHeight="1" x14ac:dyDescent="0.3">
      <c r="B86" s="146"/>
      <c r="C86" s="126"/>
      <c r="D86" s="5" t="s">
        <v>35</v>
      </c>
      <c r="E86" s="1" t="s">
        <v>124</v>
      </c>
      <c r="F86" s="25">
        <v>0</v>
      </c>
      <c r="G86" s="8">
        <v>0</v>
      </c>
      <c r="H86" s="6">
        <f>$F$86</f>
        <v>0</v>
      </c>
      <c r="I86" s="6">
        <f t="shared" si="9"/>
        <v>0</v>
      </c>
      <c r="J86" s="6">
        <f t="shared" si="0"/>
        <v>0</v>
      </c>
      <c r="K86" s="6">
        <f>$F$86</f>
        <v>0</v>
      </c>
      <c r="L86" s="6">
        <f>K86*K71</f>
        <v>0</v>
      </c>
      <c r="M86" s="6">
        <f t="shared" si="12"/>
        <v>0</v>
      </c>
      <c r="N86" s="6">
        <f>$F$86</f>
        <v>0</v>
      </c>
      <c r="O86" s="6">
        <f>N86*N71</f>
        <v>0</v>
      </c>
      <c r="P86" s="6">
        <f t="shared" ref="P86" si="19">O86*28</f>
        <v>0</v>
      </c>
      <c r="Q86" s="6">
        <f>$F$86</f>
        <v>0</v>
      </c>
      <c r="R86" s="6">
        <f>Q86*Q71</f>
        <v>0</v>
      </c>
      <c r="S86" s="6">
        <f t="shared" si="14"/>
        <v>0</v>
      </c>
      <c r="T86" s="6">
        <f>$G$86</f>
        <v>0</v>
      </c>
      <c r="U86" s="6">
        <f>T86*T71</f>
        <v>0</v>
      </c>
      <c r="V86" s="6">
        <f t="shared" si="15"/>
        <v>0</v>
      </c>
      <c r="W86" s="6">
        <f>$G$86</f>
        <v>0</v>
      </c>
      <c r="X86" s="6">
        <f>W86*W71</f>
        <v>0</v>
      </c>
      <c r="Y86" s="6">
        <f t="shared" si="16"/>
        <v>0</v>
      </c>
      <c r="Z86" s="6">
        <f>$G$86</f>
        <v>0</v>
      </c>
      <c r="AA86" s="6">
        <f>Z86*Z71</f>
        <v>0</v>
      </c>
      <c r="AB86" s="6">
        <f t="shared" si="17"/>
        <v>0</v>
      </c>
      <c r="AC86" s="6">
        <f t="shared" si="10"/>
        <v>0</v>
      </c>
      <c r="AD86" s="6">
        <f t="shared" si="11"/>
        <v>0</v>
      </c>
      <c r="AF86" s="58"/>
    </row>
    <row r="87" spans="2:32" ht="18" customHeight="1" x14ac:dyDescent="0.3">
      <c r="B87" s="146"/>
      <c r="C87" s="126"/>
      <c r="D87" s="5" t="s">
        <v>36</v>
      </c>
      <c r="E87" s="1" t="s">
        <v>37</v>
      </c>
      <c r="F87" s="16">
        <v>12</v>
      </c>
      <c r="G87" s="8">
        <v>2.5</v>
      </c>
      <c r="H87" s="6">
        <f>$F$87</f>
        <v>12</v>
      </c>
      <c r="I87" s="6">
        <f t="shared" si="9"/>
        <v>648</v>
      </c>
      <c r="J87" s="6">
        <f t="shared" si="0"/>
        <v>18144</v>
      </c>
      <c r="K87" s="6">
        <f>$F$87</f>
        <v>12</v>
      </c>
      <c r="L87" s="6">
        <f>K87*K71</f>
        <v>1620</v>
      </c>
      <c r="M87" s="6">
        <f t="shared" si="12"/>
        <v>45360</v>
      </c>
      <c r="N87" s="6">
        <f>$F$87</f>
        <v>12</v>
      </c>
      <c r="O87" s="6">
        <f>N87*N71</f>
        <v>84</v>
      </c>
      <c r="P87" s="6">
        <f t="shared" ref="P87" si="20">O87*28</f>
        <v>2352</v>
      </c>
      <c r="Q87" s="6">
        <f>$F$87</f>
        <v>12</v>
      </c>
      <c r="R87" s="6">
        <f>Q87*Q71</f>
        <v>0</v>
      </c>
      <c r="S87" s="6">
        <f t="shared" si="14"/>
        <v>0</v>
      </c>
      <c r="T87" s="6">
        <f>$G$87</f>
        <v>2.5</v>
      </c>
      <c r="U87" s="6">
        <f>T87*T71</f>
        <v>20</v>
      </c>
      <c r="V87" s="6">
        <f t="shared" si="15"/>
        <v>560</v>
      </c>
      <c r="W87" s="6">
        <f>$G$87</f>
        <v>2.5</v>
      </c>
      <c r="X87" s="6">
        <f>W87*W71</f>
        <v>0</v>
      </c>
      <c r="Y87" s="6">
        <f t="shared" si="16"/>
        <v>0</v>
      </c>
      <c r="Z87" s="6">
        <f>$G$87</f>
        <v>2.5</v>
      </c>
      <c r="AA87" s="6">
        <f>Z87*Z71</f>
        <v>75</v>
      </c>
      <c r="AB87" s="6">
        <f t="shared" si="17"/>
        <v>2100</v>
      </c>
      <c r="AC87" s="6">
        <f t="shared" si="10"/>
        <v>2447</v>
      </c>
      <c r="AD87" s="6">
        <f t="shared" si="11"/>
        <v>68516</v>
      </c>
      <c r="AF87" s="58"/>
    </row>
    <row r="88" spans="2:32" ht="18" customHeight="1" x14ac:dyDescent="0.3">
      <c r="B88" s="146"/>
      <c r="C88" s="126"/>
      <c r="D88" s="5" t="s">
        <v>38</v>
      </c>
      <c r="E88" s="1" t="s">
        <v>39</v>
      </c>
      <c r="F88" s="133">
        <v>5.5</v>
      </c>
      <c r="G88" s="134"/>
      <c r="H88" s="6">
        <f>IF(($F$88*42)-(I71*6%)&gt;0,(($F$88*42)-(I71*6%))/28*26,0)</f>
        <v>141.90707142857141</v>
      </c>
      <c r="I88" s="6">
        <f t="shared" si="9"/>
        <v>7662.9818571428559</v>
      </c>
      <c r="J88" s="6">
        <f t="shared" si="0"/>
        <v>214563.49199999997</v>
      </c>
      <c r="K88" s="6">
        <f>IF(($F$88*42)-(L71*6%)&gt;0,(($F$88*42)-(L71*6%))/28*26,0)</f>
        <v>117.66857142857143</v>
      </c>
      <c r="L88" s="6">
        <f>K88*K71</f>
        <v>15885.257142857143</v>
      </c>
      <c r="M88" s="6">
        <f t="shared" si="12"/>
        <v>444787.20000000001</v>
      </c>
      <c r="N88" s="6">
        <f>IF(($F$88*42)-(O71*6%)&gt;0,(($F$88*42)-(O71*6%))/28*26,0)</f>
        <v>141.90707142857141</v>
      </c>
      <c r="O88" s="6">
        <f>N88*N71</f>
        <v>993.34949999999992</v>
      </c>
      <c r="P88" s="6">
        <f t="shared" ref="P88" si="21">O88*28</f>
        <v>27813.785999999996</v>
      </c>
      <c r="Q88" s="6">
        <f>IF(($F$88*42)-(R71*6%)&gt;0,(($F$88*42)-(R71*6%))/28*26,0)</f>
        <v>112.73005714285713</v>
      </c>
      <c r="R88" s="6">
        <f>Q88*Q71</f>
        <v>0</v>
      </c>
      <c r="S88" s="6">
        <f t="shared" si="14"/>
        <v>0</v>
      </c>
      <c r="T88" s="6">
        <f>IF(($F$88*42)-(U71*6%)&gt;0,(($F$88*42)-(U71*6%))/28*26,0)</f>
        <v>0</v>
      </c>
      <c r="U88" s="6">
        <f>T88*T71</f>
        <v>0</v>
      </c>
      <c r="V88" s="6">
        <f t="shared" si="15"/>
        <v>0</v>
      </c>
      <c r="W88" s="6">
        <f>IF(($F$88*42)-(X71*6%)&gt;0,(($F$88*42)-(X71*6%))/28*26,0)</f>
        <v>0</v>
      </c>
      <c r="X88" s="6">
        <f>W88*W71</f>
        <v>0</v>
      </c>
      <c r="Y88" s="6">
        <f t="shared" si="16"/>
        <v>0</v>
      </c>
      <c r="Z88" s="6">
        <f>IF(($F$88*42)-(AA71*6%)&gt;0,(($F$88*42)-(AA71*6%))/28*26,0)</f>
        <v>90.814285714285731</v>
      </c>
      <c r="AA88" s="6">
        <f>Z88*Z71</f>
        <v>2724.428571428572</v>
      </c>
      <c r="AB88" s="6">
        <f t="shared" si="17"/>
        <v>76284.000000000015</v>
      </c>
      <c r="AC88" s="6">
        <f t="shared" si="10"/>
        <v>27266.01707142857</v>
      </c>
      <c r="AD88" s="6">
        <f t="shared" si="11"/>
        <v>763448.478</v>
      </c>
      <c r="AF88" s="58"/>
    </row>
    <row r="89" spans="2:32" ht="18" customHeight="1" x14ac:dyDescent="0.3">
      <c r="B89" s="146"/>
      <c r="C89" s="126"/>
      <c r="D89" s="65" t="s">
        <v>40</v>
      </c>
      <c r="E89" s="2" t="s">
        <v>30</v>
      </c>
      <c r="F89" s="127" t="s">
        <v>132</v>
      </c>
      <c r="G89" s="128"/>
      <c r="H89" s="12">
        <f>SUM(H84:H88)</f>
        <v>559.31207142857136</v>
      </c>
      <c r="I89" s="20">
        <f t="shared" si="9"/>
        <v>30202.851857142854</v>
      </c>
      <c r="J89" s="12">
        <f>I89*28</f>
        <v>845679.85199999996</v>
      </c>
      <c r="K89" s="12">
        <f>SUM(K84:K88)</f>
        <v>535.07357142857143</v>
      </c>
      <c r="L89" s="20">
        <f>K89*K71</f>
        <v>72234.932142857142</v>
      </c>
      <c r="M89" s="12">
        <f>L89*28</f>
        <v>2022578.1</v>
      </c>
      <c r="N89" s="12">
        <f>SUM(N84:N88)</f>
        <v>559.31207142857136</v>
      </c>
      <c r="O89" s="20">
        <f>N89*N71</f>
        <v>3915.1844999999994</v>
      </c>
      <c r="P89" s="12">
        <f>O89*28</f>
        <v>109625.16599999998</v>
      </c>
      <c r="Q89" s="12">
        <f>SUM(Q84:Q88)</f>
        <v>530.13505714285714</v>
      </c>
      <c r="R89" s="20">
        <f>Q89*Q71</f>
        <v>0</v>
      </c>
      <c r="S89" s="12">
        <f>R89*28</f>
        <v>0</v>
      </c>
      <c r="T89" s="12">
        <f>SUM(T84:T88)</f>
        <v>658.09</v>
      </c>
      <c r="U89" s="20">
        <f>T89*T71</f>
        <v>5264.72</v>
      </c>
      <c r="V89" s="12">
        <f>U89*28</f>
        <v>147412.16</v>
      </c>
      <c r="W89" s="12">
        <f>SUM(W84:W88)</f>
        <v>658.09</v>
      </c>
      <c r="X89" s="20">
        <f>W89*W71</f>
        <v>0</v>
      </c>
      <c r="Y89" s="12">
        <f>X89*28</f>
        <v>0</v>
      </c>
      <c r="Z89" s="12">
        <f>SUM(Z84:Z88)</f>
        <v>748.90428571428572</v>
      </c>
      <c r="AA89" s="20">
        <f>Z89*Z71</f>
        <v>22467.128571428573</v>
      </c>
      <c r="AB89" s="12">
        <f>AA89*28</f>
        <v>629079.60000000009</v>
      </c>
      <c r="AC89" s="24">
        <f t="shared" si="10"/>
        <v>134084.81707142858</v>
      </c>
      <c r="AD89" s="24">
        <f t="shared" si="11"/>
        <v>3754374.8780000005</v>
      </c>
      <c r="AF89" s="58"/>
    </row>
    <row r="90" spans="2:32" ht="20.399999999999999" customHeight="1" x14ac:dyDescent="0.3">
      <c r="B90" s="146" t="s">
        <v>41</v>
      </c>
      <c r="C90" s="126" t="s">
        <v>42</v>
      </c>
      <c r="D90" s="3" t="s">
        <v>43</v>
      </c>
      <c r="E90" s="4" t="s">
        <v>42</v>
      </c>
      <c r="F90" s="129" t="s">
        <v>129</v>
      </c>
      <c r="G90" s="130"/>
      <c r="H90" s="9">
        <f>(I71+I71/3)/30*70/28</f>
        <v>144.77222222222221</v>
      </c>
      <c r="I90" s="6">
        <f>H90*H71</f>
        <v>7817.7</v>
      </c>
      <c r="J90" s="6">
        <f t="shared" si="0"/>
        <v>218895.6</v>
      </c>
      <c r="K90" s="9">
        <f>(L71+L71/3)/30*70/28</f>
        <v>193.11111111111114</v>
      </c>
      <c r="L90" s="6">
        <f>K90*K71</f>
        <v>26070.000000000004</v>
      </c>
      <c r="M90" s="6">
        <f t="shared" ref="M90:M98" si="22">L90*28</f>
        <v>729960.00000000012</v>
      </c>
      <c r="N90" s="9">
        <f>(O71+O71/3)/30*70/28</f>
        <v>144.77222222222221</v>
      </c>
      <c r="O90" s="6">
        <f>N90*N71</f>
        <v>1013.4055555555555</v>
      </c>
      <c r="P90" s="6">
        <f t="shared" ref="P90:P98" si="23">O90*28</f>
        <v>28375.355555555554</v>
      </c>
      <c r="Q90" s="9">
        <f>(R71+R71/3)/30*70/28</f>
        <v>202.96</v>
      </c>
      <c r="R90" s="6">
        <f>Q90*Q71</f>
        <v>0</v>
      </c>
      <c r="S90" s="6">
        <f t="shared" ref="S90:S98" si="24">R90*28</f>
        <v>0</v>
      </c>
      <c r="T90" s="9">
        <f>(U71+U71/3)/30*70/28</f>
        <v>493.33333333333337</v>
      </c>
      <c r="U90" s="6">
        <f>T90*T71</f>
        <v>3946.666666666667</v>
      </c>
      <c r="V90" s="6">
        <f t="shared" ref="V90:V98" si="25">U90*28</f>
        <v>110506.66666666667</v>
      </c>
      <c r="W90" s="9">
        <f>(X71+X71/3)/30*70/28</f>
        <v>558.88888888888891</v>
      </c>
      <c r="X90" s="6">
        <f>W90*W71</f>
        <v>0</v>
      </c>
      <c r="Y90" s="6">
        <f t="shared" ref="Y90:Y98" si="26">X90*28</f>
        <v>0</v>
      </c>
      <c r="Z90" s="9">
        <f>(AA71+AA71/3)/30*70/28</f>
        <v>246.66666666666669</v>
      </c>
      <c r="AA90" s="6">
        <f>Z90*Z71</f>
        <v>7400.0000000000009</v>
      </c>
      <c r="AB90" s="6">
        <f t="shared" ref="AB90:AB98" si="27">AA90*28</f>
        <v>207200.00000000003</v>
      </c>
      <c r="AC90" s="6">
        <f t="shared" si="10"/>
        <v>46247.772222222222</v>
      </c>
      <c r="AD90" s="6">
        <f t="shared" si="11"/>
        <v>1294937.6222222224</v>
      </c>
      <c r="AF90" s="58"/>
    </row>
    <row r="91" spans="2:32" ht="18" customHeight="1" x14ac:dyDescent="0.3">
      <c r="B91" s="146"/>
      <c r="C91" s="126"/>
      <c r="D91" s="3" t="s">
        <v>44</v>
      </c>
      <c r="E91" s="4" t="s">
        <v>16</v>
      </c>
      <c r="F91" s="11" t="s">
        <v>146</v>
      </c>
      <c r="G91" s="10">
        <v>0.08</v>
      </c>
      <c r="H91" s="9">
        <f>H90*$G$91</f>
        <v>11.581777777777777</v>
      </c>
      <c r="I91" s="6">
        <f>H91*H71</f>
        <v>625.41599999999994</v>
      </c>
      <c r="J91" s="6">
        <f t="shared" si="0"/>
        <v>17511.647999999997</v>
      </c>
      <c r="K91" s="9">
        <f>K90*$G$91</f>
        <v>15.448888888888892</v>
      </c>
      <c r="L91" s="6">
        <f>K91*K71</f>
        <v>2085.6000000000004</v>
      </c>
      <c r="M91" s="6">
        <f t="shared" si="22"/>
        <v>58396.80000000001</v>
      </c>
      <c r="N91" s="9">
        <f>N90*$G$91</f>
        <v>11.581777777777777</v>
      </c>
      <c r="O91" s="6">
        <f>N91*N71</f>
        <v>81.072444444444443</v>
      </c>
      <c r="P91" s="6">
        <f t="shared" si="23"/>
        <v>2270.0284444444442</v>
      </c>
      <c r="Q91" s="9">
        <f>Q90*$G$91</f>
        <v>16.236800000000002</v>
      </c>
      <c r="R91" s="6">
        <f>Q91*Q71</f>
        <v>0</v>
      </c>
      <c r="S91" s="6">
        <f t="shared" si="24"/>
        <v>0</v>
      </c>
      <c r="T91" s="9">
        <f>T90*$G$91</f>
        <v>39.466666666666669</v>
      </c>
      <c r="U91" s="6">
        <f>T91*T71</f>
        <v>315.73333333333335</v>
      </c>
      <c r="V91" s="6">
        <f t="shared" si="25"/>
        <v>8840.5333333333328</v>
      </c>
      <c r="W91" s="9">
        <f>W90*$G$91</f>
        <v>44.711111111111116</v>
      </c>
      <c r="X91" s="6">
        <f>W91*W71</f>
        <v>0</v>
      </c>
      <c r="Y91" s="6">
        <f t="shared" si="26"/>
        <v>0</v>
      </c>
      <c r="Z91" s="9">
        <f>Z90*$G$91</f>
        <v>19.733333333333334</v>
      </c>
      <c r="AA91" s="6">
        <f>Z91*Z71</f>
        <v>592</v>
      </c>
      <c r="AB91" s="6">
        <f t="shared" si="27"/>
        <v>16576</v>
      </c>
      <c r="AC91" s="6">
        <f t="shared" si="10"/>
        <v>3699.8217777777782</v>
      </c>
      <c r="AD91" s="6">
        <f t="shared" si="11"/>
        <v>103595.00977777777</v>
      </c>
      <c r="AF91" s="58"/>
    </row>
    <row r="92" spans="2:32" ht="18" customHeight="1" x14ac:dyDescent="0.3">
      <c r="B92" s="146"/>
      <c r="C92" s="126"/>
      <c r="D92" s="3" t="s">
        <v>45</v>
      </c>
      <c r="E92" s="4" t="s">
        <v>18</v>
      </c>
      <c r="F92" s="11" t="s">
        <v>147</v>
      </c>
      <c r="G92" s="10">
        <v>0</v>
      </c>
      <c r="H92" s="9">
        <f>H90*$G$92</f>
        <v>0</v>
      </c>
      <c r="I92" s="6">
        <f>H92*H71</f>
        <v>0</v>
      </c>
      <c r="J92" s="6">
        <f t="shared" si="0"/>
        <v>0</v>
      </c>
      <c r="K92" s="9">
        <f>K90*$G$92</f>
        <v>0</v>
      </c>
      <c r="L92" s="6">
        <f>K92*K71</f>
        <v>0</v>
      </c>
      <c r="M92" s="6">
        <f t="shared" si="22"/>
        <v>0</v>
      </c>
      <c r="N92" s="9">
        <f>N90*$G$92</f>
        <v>0</v>
      </c>
      <c r="O92" s="6">
        <f>N92*N71</f>
        <v>0</v>
      </c>
      <c r="P92" s="6">
        <f t="shared" si="23"/>
        <v>0</v>
      </c>
      <c r="Q92" s="9">
        <f>Q90*$G$92</f>
        <v>0</v>
      </c>
      <c r="R92" s="6">
        <f>Q92*Q71</f>
        <v>0</v>
      </c>
      <c r="S92" s="6">
        <f t="shared" si="24"/>
        <v>0</v>
      </c>
      <c r="T92" s="9">
        <f>T90*$G$92</f>
        <v>0</v>
      </c>
      <c r="U92" s="6">
        <f>T92*T71</f>
        <v>0</v>
      </c>
      <c r="V92" s="6">
        <f t="shared" si="25"/>
        <v>0</v>
      </c>
      <c r="W92" s="9">
        <f>W90*$G$92</f>
        <v>0</v>
      </c>
      <c r="X92" s="6">
        <f>W92*W71</f>
        <v>0</v>
      </c>
      <c r="Y92" s="6">
        <f t="shared" si="26"/>
        <v>0</v>
      </c>
      <c r="Z92" s="9">
        <f>Z90*$G$92</f>
        <v>0</v>
      </c>
      <c r="AA92" s="6">
        <f>Z92*Z71</f>
        <v>0</v>
      </c>
      <c r="AB92" s="6">
        <f t="shared" si="27"/>
        <v>0</v>
      </c>
      <c r="AC92" s="6">
        <f t="shared" si="10"/>
        <v>0</v>
      </c>
      <c r="AD92" s="6">
        <f t="shared" si="11"/>
        <v>0</v>
      </c>
      <c r="AF92" s="58"/>
    </row>
    <row r="93" spans="2:32" ht="18" customHeight="1" x14ac:dyDescent="0.3">
      <c r="B93" s="146"/>
      <c r="C93" s="126"/>
      <c r="D93" s="3" t="s">
        <v>46</v>
      </c>
      <c r="E93" s="1" t="s">
        <v>20</v>
      </c>
      <c r="F93" s="15" t="s">
        <v>148</v>
      </c>
      <c r="G93" s="10">
        <v>2E-3</v>
      </c>
      <c r="H93" s="9">
        <f>H90*$G$93</f>
        <v>0.28954444444444444</v>
      </c>
      <c r="I93" s="6">
        <f>H93*H71</f>
        <v>15.635399999999999</v>
      </c>
      <c r="J93" s="6">
        <f t="shared" si="0"/>
        <v>437.79119999999995</v>
      </c>
      <c r="K93" s="9">
        <f>K90*$G$93</f>
        <v>0.3862222222222223</v>
      </c>
      <c r="L93" s="6">
        <f>K93*K71</f>
        <v>52.140000000000008</v>
      </c>
      <c r="M93" s="6">
        <f t="shared" si="22"/>
        <v>1459.9200000000003</v>
      </c>
      <c r="N93" s="9">
        <f>N90*$G$93</f>
        <v>0.28954444444444444</v>
      </c>
      <c r="O93" s="6">
        <f>N93*N71</f>
        <v>2.0268111111111109</v>
      </c>
      <c r="P93" s="6">
        <f t="shared" si="23"/>
        <v>56.750711111111102</v>
      </c>
      <c r="Q93" s="9">
        <f>Q90*$G$93</f>
        <v>0.40592</v>
      </c>
      <c r="R93" s="6">
        <f>Q93*Q71</f>
        <v>0</v>
      </c>
      <c r="S93" s="6">
        <f t="shared" si="24"/>
        <v>0</v>
      </c>
      <c r="T93" s="9">
        <f>T90*$G$93</f>
        <v>0.9866666666666668</v>
      </c>
      <c r="U93" s="6">
        <f>T93*T71</f>
        <v>7.8933333333333344</v>
      </c>
      <c r="V93" s="6">
        <f t="shared" si="25"/>
        <v>221.01333333333338</v>
      </c>
      <c r="W93" s="9">
        <f>W90*$G$93</f>
        <v>1.1177777777777778</v>
      </c>
      <c r="X93" s="6">
        <f>W93*W71</f>
        <v>0</v>
      </c>
      <c r="Y93" s="6">
        <f t="shared" si="26"/>
        <v>0</v>
      </c>
      <c r="Z93" s="9">
        <f>Z90*$G$93</f>
        <v>0.4933333333333334</v>
      </c>
      <c r="AA93" s="6">
        <f>Z93*Z71</f>
        <v>14.800000000000002</v>
      </c>
      <c r="AB93" s="6">
        <f t="shared" si="27"/>
        <v>414.40000000000009</v>
      </c>
      <c r="AC93" s="6">
        <f t="shared" si="10"/>
        <v>92.495544444444448</v>
      </c>
      <c r="AD93" s="6">
        <f t="shared" si="11"/>
        <v>2589.8752444444449</v>
      </c>
      <c r="AF93" s="58"/>
    </row>
    <row r="94" spans="2:32" ht="18" customHeight="1" x14ac:dyDescent="0.3">
      <c r="B94" s="146"/>
      <c r="C94" s="126"/>
      <c r="D94" s="3" t="s">
        <v>47</v>
      </c>
      <c r="E94" s="1" t="s">
        <v>210</v>
      </c>
      <c r="F94" s="15" t="s">
        <v>149</v>
      </c>
      <c r="G94" s="10">
        <v>0.01</v>
      </c>
      <c r="H94" s="9">
        <f>H90*$G$94</f>
        <v>1.4477222222222221</v>
      </c>
      <c r="I94" s="6">
        <f>H94*H71</f>
        <v>78.176999999999992</v>
      </c>
      <c r="J94" s="6">
        <f t="shared" si="0"/>
        <v>2188.9559999999997</v>
      </c>
      <c r="K94" s="9">
        <f>K90*$G$94</f>
        <v>1.9311111111111114</v>
      </c>
      <c r="L94" s="6">
        <f>K94*K71</f>
        <v>260.70000000000005</v>
      </c>
      <c r="M94" s="6">
        <f t="shared" si="22"/>
        <v>7299.6000000000013</v>
      </c>
      <c r="N94" s="9">
        <f>N90*$G$94</f>
        <v>1.4477222222222221</v>
      </c>
      <c r="O94" s="6">
        <f>N94*N71</f>
        <v>10.134055555555555</v>
      </c>
      <c r="P94" s="6">
        <f t="shared" si="23"/>
        <v>283.75355555555552</v>
      </c>
      <c r="Q94" s="9">
        <f>Q90*$G$94</f>
        <v>2.0296000000000003</v>
      </c>
      <c r="R94" s="6">
        <f>Q94*Q71</f>
        <v>0</v>
      </c>
      <c r="S94" s="6">
        <f t="shared" si="24"/>
        <v>0</v>
      </c>
      <c r="T94" s="9">
        <f>T90*$G$94</f>
        <v>4.9333333333333336</v>
      </c>
      <c r="U94" s="6">
        <f>T94*T71</f>
        <v>39.466666666666669</v>
      </c>
      <c r="V94" s="6">
        <f t="shared" si="25"/>
        <v>1105.0666666666666</v>
      </c>
      <c r="W94" s="9">
        <f>W90*$G$94</f>
        <v>5.5888888888888895</v>
      </c>
      <c r="X94" s="6">
        <f>W94*W71</f>
        <v>0</v>
      </c>
      <c r="Y94" s="6">
        <f t="shared" si="26"/>
        <v>0</v>
      </c>
      <c r="Z94" s="9">
        <f>Z90*$G$94</f>
        <v>2.4666666666666668</v>
      </c>
      <c r="AA94" s="6">
        <f>Z94*Z71</f>
        <v>74</v>
      </c>
      <c r="AB94" s="6">
        <f t="shared" si="27"/>
        <v>2072</v>
      </c>
      <c r="AC94" s="6">
        <f t="shared" si="10"/>
        <v>462.47772222222227</v>
      </c>
      <c r="AD94" s="6">
        <f t="shared" si="11"/>
        <v>12949.376222222221</v>
      </c>
      <c r="AF94" s="58"/>
    </row>
    <row r="95" spans="2:32" ht="18" customHeight="1" x14ac:dyDescent="0.3">
      <c r="B95" s="146"/>
      <c r="C95" s="126"/>
      <c r="D95" s="3" t="s">
        <v>48</v>
      </c>
      <c r="E95" s="1" t="s">
        <v>211</v>
      </c>
      <c r="F95" s="15" t="s">
        <v>150</v>
      </c>
      <c r="G95" s="10">
        <v>1.4999999999999999E-2</v>
      </c>
      <c r="H95" s="9">
        <f>H90*$G$95</f>
        <v>2.171583333333333</v>
      </c>
      <c r="I95" s="6">
        <f>H95*H71</f>
        <v>117.26549999999997</v>
      </c>
      <c r="J95" s="6">
        <f t="shared" si="0"/>
        <v>3283.4339999999993</v>
      </c>
      <c r="K95" s="9">
        <f>K90*$G$95</f>
        <v>2.8966666666666669</v>
      </c>
      <c r="L95" s="6">
        <f>K95*K71</f>
        <v>391.05</v>
      </c>
      <c r="M95" s="6">
        <f t="shared" si="22"/>
        <v>10949.4</v>
      </c>
      <c r="N95" s="9">
        <f>N90*$G$95</f>
        <v>2.171583333333333</v>
      </c>
      <c r="O95" s="6">
        <f>N95*N71</f>
        <v>15.201083333333331</v>
      </c>
      <c r="P95" s="6">
        <f t="shared" si="23"/>
        <v>425.63033333333328</v>
      </c>
      <c r="Q95" s="9">
        <f>Q90*$G$95</f>
        <v>3.0444</v>
      </c>
      <c r="R95" s="6">
        <f>Q95*Q71</f>
        <v>0</v>
      </c>
      <c r="S95" s="6">
        <f t="shared" si="24"/>
        <v>0</v>
      </c>
      <c r="T95" s="9">
        <f>T90*$G$95</f>
        <v>7.4</v>
      </c>
      <c r="U95" s="6">
        <f>T95*T71</f>
        <v>59.2</v>
      </c>
      <c r="V95" s="6">
        <f t="shared" si="25"/>
        <v>1657.6000000000001</v>
      </c>
      <c r="W95" s="9">
        <f>W90*$G$95</f>
        <v>8.3833333333333329</v>
      </c>
      <c r="X95" s="6">
        <f>W95*W71</f>
        <v>0</v>
      </c>
      <c r="Y95" s="6">
        <f t="shared" si="26"/>
        <v>0</v>
      </c>
      <c r="Z95" s="9">
        <f>Z90*$G$95</f>
        <v>3.7</v>
      </c>
      <c r="AA95" s="6">
        <f>Z95*Z71</f>
        <v>111</v>
      </c>
      <c r="AB95" s="6">
        <f t="shared" si="27"/>
        <v>3108</v>
      </c>
      <c r="AC95" s="6">
        <f t="shared" si="10"/>
        <v>693.71658333333335</v>
      </c>
      <c r="AD95" s="6">
        <f t="shared" si="11"/>
        <v>19424.064333333332</v>
      </c>
      <c r="AF95" s="58"/>
    </row>
    <row r="96" spans="2:32" ht="18" customHeight="1" x14ac:dyDescent="0.3">
      <c r="B96" s="146"/>
      <c r="C96" s="126"/>
      <c r="D96" s="3" t="s">
        <v>49</v>
      </c>
      <c r="E96" s="1" t="s">
        <v>24</v>
      </c>
      <c r="F96" s="15" t="s">
        <v>151</v>
      </c>
      <c r="G96" s="10">
        <v>6.0000000000000001E-3</v>
      </c>
      <c r="H96" s="9">
        <f>H90*$G$96</f>
        <v>0.86863333333333326</v>
      </c>
      <c r="I96" s="6">
        <f>H96*H71</f>
        <v>46.906199999999998</v>
      </c>
      <c r="J96" s="6">
        <f t="shared" si="0"/>
        <v>1313.3735999999999</v>
      </c>
      <c r="K96" s="9">
        <f>K90*$G$96</f>
        <v>1.158666666666667</v>
      </c>
      <c r="L96" s="6">
        <f>K96*K71</f>
        <v>156.42000000000004</v>
      </c>
      <c r="M96" s="6">
        <f t="shared" si="22"/>
        <v>4379.7600000000011</v>
      </c>
      <c r="N96" s="9">
        <f>N90*$G$96</f>
        <v>0.86863333333333326</v>
      </c>
      <c r="O96" s="6">
        <f>N96*N71</f>
        <v>6.0804333333333327</v>
      </c>
      <c r="P96" s="6">
        <f t="shared" si="23"/>
        <v>170.25213333333332</v>
      </c>
      <c r="Q96" s="9">
        <f>Q90*$G$96</f>
        <v>1.2177600000000002</v>
      </c>
      <c r="R96" s="6">
        <f>Q96*Q71</f>
        <v>0</v>
      </c>
      <c r="S96" s="6">
        <f t="shared" si="24"/>
        <v>0</v>
      </c>
      <c r="T96" s="9">
        <f>T90*$G$96</f>
        <v>2.9600000000000004</v>
      </c>
      <c r="U96" s="6">
        <f>T96*T71</f>
        <v>23.680000000000003</v>
      </c>
      <c r="V96" s="6">
        <f t="shared" si="25"/>
        <v>663.04000000000008</v>
      </c>
      <c r="W96" s="9">
        <f>W90*$G$96</f>
        <v>3.3533333333333335</v>
      </c>
      <c r="X96" s="6">
        <f>W96*W71</f>
        <v>0</v>
      </c>
      <c r="Y96" s="6">
        <f t="shared" si="26"/>
        <v>0</v>
      </c>
      <c r="Z96" s="9">
        <f>Z90*$G$96</f>
        <v>1.4800000000000002</v>
      </c>
      <c r="AA96" s="6">
        <f>Z96*Z71</f>
        <v>44.400000000000006</v>
      </c>
      <c r="AB96" s="6">
        <f t="shared" si="27"/>
        <v>1243.2000000000003</v>
      </c>
      <c r="AC96" s="6">
        <f t="shared" si="10"/>
        <v>277.48663333333337</v>
      </c>
      <c r="AD96" s="6">
        <f t="shared" si="11"/>
        <v>7769.6257333333342</v>
      </c>
      <c r="AF96" s="58"/>
    </row>
    <row r="97" spans="2:32" ht="18" customHeight="1" x14ac:dyDescent="0.3">
      <c r="B97" s="146"/>
      <c r="C97" s="126"/>
      <c r="D97" s="3" t="s">
        <v>50</v>
      </c>
      <c r="E97" s="4" t="s">
        <v>26</v>
      </c>
      <c r="F97" s="11" t="s">
        <v>152</v>
      </c>
      <c r="G97" s="10">
        <v>2.5000000000000001E-2</v>
      </c>
      <c r="H97" s="9">
        <f>H90*$G$97</f>
        <v>3.6193055555555556</v>
      </c>
      <c r="I97" s="6">
        <f>H97*H71</f>
        <v>195.4425</v>
      </c>
      <c r="J97" s="6">
        <f t="shared" si="0"/>
        <v>5472.3899999999994</v>
      </c>
      <c r="K97" s="9">
        <f>K90*$G$97</f>
        <v>4.8277777777777793</v>
      </c>
      <c r="L97" s="6">
        <f>K97*K71</f>
        <v>651.75000000000023</v>
      </c>
      <c r="M97" s="6">
        <f t="shared" si="22"/>
        <v>18249.000000000007</v>
      </c>
      <c r="N97" s="9">
        <f>N90*$G$97</f>
        <v>3.6193055555555556</v>
      </c>
      <c r="O97" s="6">
        <f>N97*N71</f>
        <v>25.335138888888888</v>
      </c>
      <c r="P97" s="6">
        <f t="shared" si="23"/>
        <v>709.38388888888892</v>
      </c>
      <c r="Q97" s="9">
        <f>Q90*$G$97</f>
        <v>5.0740000000000007</v>
      </c>
      <c r="R97" s="6">
        <f>Q97*Q71</f>
        <v>0</v>
      </c>
      <c r="S97" s="6">
        <f t="shared" si="24"/>
        <v>0</v>
      </c>
      <c r="T97" s="9">
        <f>T90*$G$97</f>
        <v>12.333333333333336</v>
      </c>
      <c r="U97" s="6">
        <f>T97*T71</f>
        <v>98.666666666666686</v>
      </c>
      <c r="V97" s="6">
        <f t="shared" si="25"/>
        <v>2762.666666666667</v>
      </c>
      <c r="W97" s="9">
        <f>W90*$G$97</f>
        <v>13.972222222222223</v>
      </c>
      <c r="X97" s="6">
        <f>W97*W71</f>
        <v>0</v>
      </c>
      <c r="Y97" s="6">
        <f t="shared" si="26"/>
        <v>0</v>
      </c>
      <c r="Z97" s="9">
        <f>Z90*$G$97</f>
        <v>6.1666666666666679</v>
      </c>
      <c r="AA97" s="6">
        <f>Z97*Z71</f>
        <v>185.00000000000003</v>
      </c>
      <c r="AB97" s="6">
        <f t="shared" si="27"/>
        <v>5180.0000000000009</v>
      </c>
      <c r="AC97" s="6">
        <f t="shared" si="10"/>
        <v>1156.1943055555557</v>
      </c>
      <c r="AD97" s="6">
        <f t="shared" si="11"/>
        <v>32373.440555555564</v>
      </c>
      <c r="AF97" s="58"/>
    </row>
    <row r="98" spans="2:32" ht="18" customHeight="1" x14ac:dyDescent="0.3">
      <c r="B98" s="146"/>
      <c r="C98" s="126"/>
      <c r="D98" s="3" t="s">
        <v>51</v>
      </c>
      <c r="E98" s="4" t="s">
        <v>28</v>
      </c>
      <c r="F98" s="11" t="s">
        <v>288</v>
      </c>
      <c r="G98" s="95">
        <v>2.8997999999999999E-2</v>
      </c>
      <c r="H98" s="9">
        <f>H90*$G$98</f>
        <v>4.1981048999999997</v>
      </c>
      <c r="I98" s="6">
        <f>H98*H71</f>
        <v>226.6976646</v>
      </c>
      <c r="J98" s="6">
        <f t="shared" si="0"/>
        <v>6347.5346087999997</v>
      </c>
      <c r="K98" s="9">
        <f>K90*$G$98</f>
        <v>5.5998360000000007</v>
      </c>
      <c r="L98" s="6">
        <f>K98*K71</f>
        <v>755.97786000000008</v>
      </c>
      <c r="M98" s="6">
        <f t="shared" si="22"/>
        <v>21167.380080000003</v>
      </c>
      <c r="N98" s="9">
        <f>N90*$G$98</f>
        <v>4.1981048999999997</v>
      </c>
      <c r="O98" s="6">
        <f>N98*N71</f>
        <v>29.386734299999997</v>
      </c>
      <c r="P98" s="6">
        <f t="shared" si="23"/>
        <v>822.8285603999999</v>
      </c>
      <c r="Q98" s="9">
        <f>Q90*$G$98</f>
        <v>5.8854340800000005</v>
      </c>
      <c r="R98" s="6">
        <f>Q98*Q71</f>
        <v>0</v>
      </c>
      <c r="S98" s="6">
        <f t="shared" si="24"/>
        <v>0</v>
      </c>
      <c r="T98" s="9">
        <f>T90*$G$98</f>
        <v>14.305680000000001</v>
      </c>
      <c r="U98" s="6">
        <f>T98*T71</f>
        <v>114.44544</v>
      </c>
      <c r="V98" s="6">
        <f t="shared" si="25"/>
        <v>3204.4723200000003</v>
      </c>
      <c r="W98" s="9">
        <f>W90*$G$98</f>
        <v>16.206659999999999</v>
      </c>
      <c r="X98" s="6">
        <f>W98*W71</f>
        <v>0</v>
      </c>
      <c r="Y98" s="6">
        <f t="shared" si="26"/>
        <v>0</v>
      </c>
      <c r="Z98" s="9">
        <f>Z90*$G$98</f>
        <v>7.1528400000000003</v>
      </c>
      <c r="AA98" s="6">
        <f>Z98*Z71</f>
        <v>214.58520000000001</v>
      </c>
      <c r="AB98" s="6">
        <f t="shared" si="27"/>
        <v>6008.3856000000005</v>
      </c>
      <c r="AC98" s="6">
        <f t="shared" si="10"/>
        <v>1341.0928988999999</v>
      </c>
      <c r="AD98" s="6">
        <f t="shared" si="11"/>
        <v>37550.601169200003</v>
      </c>
      <c r="AF98" s="58"/>
    </row>
    <row r="99" spans="2:32" ht="19.2" customHeight="1" x14ac:dyDescent="0.3">
      <c r="B99" s="146"/>
      <c r="C99" s="126"/>
      <c r="D99" s="65" t="s">
        <v>52</v>
      </c>
      <c r="E99" s="2" t="s">
        <v>30</v>
      </c>
      <c r="F99" s="117" t="s">
        <v>133</v>
      </c>
      <c r="G99" s="119"/>
      <c r="H99" s="12">
        <f>SUM(H90:H98)</f>
        <v>168.94889378888882</v>
      </c>
      <c r="I99" s="20">
        <f>H99*H71</f>
        <v>9123.2402645999973</v>
      </c>
      <c r="J99" s="12">
        <f>I99*28</f>
        <v>255450.72740879992</v>
      </c>
      <c r="K99" s="12">
        <f>SUM(K90:K98)</f>
        <v>225.3602804444445</v>
      </c>
      <c r="L99" s="20">
        <f>K99*K71</f>
        <v>30423.637860000006</v>
      </c>
      <c r="M99" s="12">
        <f>L99*28</f>
        <v>851861.86008000013</v>
      </c>
      <c r="N99" s="12">
        <f>SUM(N90:N98)</f>
        <v>168.94889378888882</v>
      </c>
      <c r="O99" s="20">
        <f>N99*N71</f>
        <v>1182.6422565222217</v>
      </c>
      <c r="P99" s="12">
        <f>O99*28</f>
        <v>33113.983182622207</v>
      </c>
      <c r="Q99" s="12">
        <f>SUM(Q90:Q98)</f>
        <v>236.85391408000001</v>
      </c>
      <c r="R99" s="20">
        <f>Q99*Q71</f>
        <v>0</v>
      </c>
      <c r="S99" s="12">
        <f>R99*28</f>
        <v>0</v>
      </c>
      <c r="T99" s="12">
        <f>SUM(T90:T98)</f>
        <v>575.71901333333346</v>
      </c>
      <c r="U99" s="20">
        <f>T99*T71</f>
        <v>4605.7521066666677</v>
      </c>
      <c r="V99" s="12">
        <f>U99*28</f>
        <v>128961.0589866667</v>
      </c>
      <c r="W99" s="12">
        <f>SUM(W90:W98)</f>
        <v>652.22221555555552</v>
      </c>
      <c r="X99" s="20">
        <f>W99*W71</f>
        <v>0</v>
      </c>
      <c r="Y99" s="12">
        <f>X99*28</f>
        <v>0</v>
      </c>
      <c r="Z99" s="12">
        <f>SUM(Z90:Z98)</f>
        <v>287.85950666666673</v>
      </c>
      <c r="AA99" s="20">
        <f>Z99*Z71</f>
        <v>8635.7852000000021</v>
      </c>
      <c r="AB99" s="12">
        <f>AA99*28</f>
        <v>241801.98560000007</v>
      </c>
      <c r="AC99" s="24">
        <f t="shared" si="10"/>
        <v>53971.057687788896</v>
      </c>
      <c r="AD99" s="24">
        <f t="shared" si="11"/>
        <v>1511189.6152580888</v>
      </c>
      <c r="AF99" s="58"/>
    </row>
    <row r="100" spans="2:32" ht="18" customHeight="1" x14ac:dyDescent="0.3">
      <c r="B100" s="146"/>
      <c r="C100" s="126" t="s">
        <v>53</v>
      </c>
      <c r="D100" s="3" t="s">
        <v>54</v>
      </c>
      <c r="E100" s="4" t="s">
        <v>53</v>
      </c>
      <c r="F100" s="129" t="s">
        <v>130</v>
      </c>
      <c r="G100" s="130"/>
      <c r="H100" s="9">
        <f>I71/30*70/28</f>
        <v>108.57916666666667</v>
      </c>
      <c r="I100" s="6">
        <f>H100*H71</f>
        <v>5863.2749999999996</v>
      </c>
      <c r="J100" s="6">
        <f t="shared" si="0"/>
        <v>164171.69999999998</v>
      </c>
      <c r="K100" s="9">
        <f>L71/30*70/28</f>
        <v>144.83333333333331</v>
      </c>
      <c r="L100" s="6">
        <f>K100*K71</f>
        <v>19552.499999999996</v>
      </c>
      <c r="M100" s="6">
        <f t="shared" ref="M100:M108" si="28">L100*28</f>
        <v>547469.99999999988</v>
      </c>
      <c r="N100" s="9">
        <f>O71/30*70/28</f>
        <v>108.57916666666667</v>
      </c>
      <c r="O100" s="6">
        <f>N100*N71</f>
        <v>760.05416666666667</v>
      </c>
      <c r="P100" s="6">
        <f t="shared" ref="P100:P108" si="29">O100*28</f>
        <v>21281.516666666666</v>
      </c>
      <c r="Q100" s="9">
        <f>R71/30*70/28</f>
        <v>152.22000000000003</v>
      </c>
      <c r="R100" s="6">
        <f>Q100*Q71</f>
        <v>0</v>
      </c>
      <c r="S100" s="6">
        <f t="shared" ref="S100:S108" si="30">R100*28</f>
        <v>0</v>
      </c>
      <c r="T100" s="9">
        <f>U71/30*70/28</f>
        <v>370</v>
      </c>
      <c r="U100" s="6">
        <f>T100*T71</f>
        <v>2960</v>
      </c>
      <c r="V100" s="6">
        <f t="shared" ref="V100:V108" si="31">U100*28</f>
        <v>82880</v>
      </c>
      <c r="W100" s="9">
        <f>X71/30*70/28</f>
        <v>419.16666666666663</v>
      </c>
      <c r="X100" s="6">
        <f>W100*W71</f>
        <v>0</v>
      </c>
      <c r="Y100" s="6">
        <f t="shared" ref="Y100:Y108" si="32">X100*28</f>
        <v>0</v>
      </c>
      <c r="Z100" s="9">
        <f>AA71/30*70/28</f>
        <v>185</v>
      </c>
      <c r="AA100" s="6">
        <f>Z100*Z71</f>
        <v>5550</v>
      </c>
      <c r="AB100" s="6">
        <f t="shared" ref="AB100:AB108" si="33">AA100*28</f>
        <v>155400</v>
      </c>
      <c r="AC100" s="6">
        <f t="shared" si="10"/>
        <v>34685.829166666663</v>
      </c>
      <c r="AD100" s="6">
        <f t="shared" si="11"/>
        <v>971203.21666666656</v>
      </c>
      <c r="AF100" s="58"/>
    </row>
    <row r="101" spans="2:32" ht="18" customHeight="1" x14ac:dyDescent="0.3">
      <c r="B101" s="146"/>
      <c r="C101" s="126"/>
      <c r="D101" s="3" t="s">
        <v>55</v>
      </c>
      <c r="E101" s="4" t="s">
        <v>16</v>
      </c>
      <c r="F101" s="11" t="s">
        <v>153</v>
      </c>
      <c r="G101" s="10">
        <v>0.08</v>
      </c>
      <c r="H101" s="9">
        <f>H100*$G$101</f>
        <v>8.6863333333333337</v>
      </c>
      <c r="I101" s="6">
        <f>H101*H71</f>
        <v>469.06200000000001</v>
      </c>
      <c r="J101" s="6">
        <f t="shared" si="0"/>
        <v>13133.736000000001</v>
      </c>
      <c r="K101" s="9">
        <f>K100*$G$101</f>
        <v>11.586666666666666</v>
      </c>
      <c r="L101" s="6">
        <f>K101*K71</f>
        <v>1564.1999999999998</v>
      </c>
      <c r="M101" s="6">
        <f t="shared" si="28"/>
        <v>43797.599999999991</v>
      </c>
      <c r="N101" s="9">
        <f>N100*$G$101</f>
        <v>8.6863333333333337</v>
      </c>
      <c r="O101" s="6">
        <f>N101*N71</f>
        <v>60.804333333333332</v>
      </c>
      <c r="P101" s="6">
        <f t="shared" si="29"/>
        <v>1702.5213333333334</v>
      </c>
      <c r="Q101" s="9">
        <f>Q100*$G$101</f>
        <v>12.177600000000002</v>
      </c>
      <c r="R101" s="6">
        <f>Q101*Q71</f>
        <v>0</v>
      </c>
      <c r="S101" s="6">
        <f t="shared" si="30"/>
        <v>0</v>
      </c>
      <c r="T101" s="9">
        <f>T100*$G$101</f>
        <v>29.6</v>
      </c>
      <c r="U101" s="6">
        <f>T101*T71</f>
        <v>236.8</v>
      </c>
      <c r="V101" s="6">
        <f t="shared" si="31"/>
        <v>6630.4000000000005</v>
      </c>
      <c r="W101" s="9">
        <f>W100*$G$101</f>
        <v>33.533333333333331</v>
      </c>
      <c r="X101" s="6">
        <f>W101*W71</f>
        <v>0</v>
      </c>
      <c r="Y101" s="6">
        <f t="shared" si="32"/>
        <v>0</v>
      </c>
      <c r="Z101" s="9">
        <f>Z100*$G$101</f>
        <v>14.8</v>
      </c>
      <c r="AA101" s="6">
        <f>Z101*Z71</f>
        <v>444</v>
      </c>
      <c r="AB101" s="6">
        <f t="shared" si="33"/>
        <v>12432</v>
      </c>
      <c r="AC101" s="6">
        <f t="shared" si="10"/>
        <v>2774.8663333333334</v>
      </c>
      <c r="AD101" s="6">
        <f t="shared" si="11"/>
        <v>77696.257333333328</v>
      </c>
      <c r="AF101" s="58"/>
    </row>
    <row r="102" spans="2:32" ht="18" customHeight="1" x14ac:dyDescent="0.3">
      <c r="B102" s="146"/>
      <c r="C102" s="126"/>
      <c r="D102" s="3" t="s">
        <v>56</v>
      </c>
      <c r="E102" s="4" t="s">
        <v>18</v>
      </c>
      <c r="F102" s="11" t="s">
        <v>154</v>
      </c>
      <c r="G102" s="10">
        <v>0</v>
      </c>
      <c r="H102" s="9">
        <f>H100*$G$102</f>
        <v>0</v>
      </c>
      <c r="I102" s="6">
        <f>H102*H71</f>
        <v>0</v>
      </c>
      <c r="J102" s="6">
        <f t="shared" si="0"/>
        <v>0</v>
      </c>
      <c r="K102" s="9">
        <f>K100*$G$102</f>
        <v>0</v>
      </c>
      <c r="L102" s="6">
        <f>K102*K71</f>
        <v>0</v>
      </c>
      <c r="M102" s="6">
        <f t="shared" si="28"/>
        <v>0</v>
      </c>
      <c r="N102" s="9">
        <f>N100*$G$102</f>
        <v>0</v>
      </c>
      <c r="O102" s="6">
        <f>N102*N71</f>
        <v>0</v>
      </c>
      <c r="P102" s="6">
        <f t="shared" si="29"/>
        <v>0</v>
      </c>
      <c r="Q102" s="9">
        <f>Q100*$G$102</f>
        <v>0</v>
      </c>
      <c r="R102" s="6">
        <f>Q102*Q71</f>
        <v>0</v>
      </c>
      <c r="S102" s="6">
        <f t="shared" si="30"/>
        <v>0</v>
      </c>
      <c r="T102" s="9">
        <f>T100*$G$102</f>
        <v>0</v>
      </c>
      <c r="U102" s="6">
        <f>T102*T71</f>
        <v>0</v>
      </c>
      <c r="V102" s="6">
        <f t="shared" si="31"/>
        <v>0</v>
      </c>
      <c r="W102" s="9">
        <f>W100*$G$102</f>
        <v>0</v>
      </c>
      <c r="X102" s="6">
        <f>W102*W71</f>
        <v>0</v>
      </c>
      <c r="Y102" s="6">
        <f t="shared" si="32"/>
        <v>0</v>
      </c>
      <c r="Z102" s="9">
        <f>Z100*$G$102</f>
        <v>0</v>
      </c>
      <c r="AA102" s="6">
        <f>Z102*Z71</f>
        <v>0</v>
      </c>
      <c r="AB102" s="6">
        <f t="shared" si="33"/>
        <v>0</v>
      </c>
      <c r="AC102" s="6">
        <f t="shared" si="10"/>
        <v>0</v>
      </c>
      <c r="AD102" s="6">
        <f t="shared" si="11"/>
        <v>0</v>
      </c>
      <c r="AF102" s="58"/>
    </row>
    <row r="103" spans="2:32" ht="18" customHeight="1" x14ac:dyDescent="0.3">
      <c r="B103" s="146"/>
      <c r="C103" s="126"/>
      <c r="D103" s="3" t="s">
        <v>57</v>
      </c>
      <c r="E103" s="1" t="s">
        <v>20</v>
      </c>
      <c r="F103" s="15" t="s">
        <v>155</v>
      </c>
      <c r="G103" s="10">
        <v>2E-3</v>
      </c>
      <c r="H103" s="9">
        <f>H100*$G$103</f>
        <v>0.21715833333333334</v>
      </c>
      <c r="I103" s="6">
        <f>H103*H71</f>
        <v>11.72655</v>
      </c>
      <c r="J103" s="6">
        <f t="shared" si="0"/>
        <v>328.34339999999997</v>
      </c>
      <c r="K103" s="9">
        <f>K100*$G$103</f>
        <v>0.28966666666666663</v>
      </c>
      <c r="L103" s="6">
        <f>K103*K71</f>
        <v>39.104999999999997</v>
      </c>
      <c r="M103" s="6">
        <f t="shared" si="28"/>
        <v>1094.9399999999998</v>
      </c>
      <c r="N103" s="9">
        <f>N100*$G$103</f>
        <v>0.21715833333333334</v>
      </c>
      <c r="O103" s="6">
        <f>N103*N71</f>
        <v>1.5201083333333334</v>
      </c>
      <c r="P103" s="6">
        <f t="shared" si="29"/>
        <v>42.563033333333337</v>
      </c>
      <c r="Q103" s="9">
        <f>Q100*$G$103</f>
        <v>0.30444000000000004</v>
      </c>
      <c r="R103" s="6">
        <f>Q103*Q71</f>
        <v>0</v>
      </c>
      <c r="S103" s="6">
        <f t="shared" si="30"/>
        <v>0</v>
      </c>
      <c r="T103" s="9">
        <f>T100*$G$103</f>
        <v>0.74</v>
      </c>
      <c r="U103" s="6">
        <f>T103*T71</f>
        <v>5.92</v>
      </c>
      <c r="V103" s="6">
        <f t="shared" si="31"/>
        <v>165.76</v>
      </c>
      <c r="W103" s="9">
        <f>W100*$G$103</f>
        <v>0.83833333333333326</v>
      </c>
      <c r="X103" s="6">
        <f>W103*W71</f>
        <v>0</v>
      </c>
      <c r="Y103" s="6">
        <f t="shared" si="32"/>
        <v>0</v>
      </c>
      <c r="Z103" s="9">
        <f>Z100*$G$103</f>
        <v>0.37</v>
      </c>
      <c r="AA103" s="6">
        <f>Z103*Z71</f>
        <v>11.1</v>
      </c>
      <c r="AB103" s="6">
        <f t="shared" si="33"/>
        <v>310.8</v>
      </c>
      <c r="AC103" s="6">
        <f t="shared" si="10"/>
        <v>69.371658333333329</v>
      </c>
      <c r="AD103" s="6">
        <f t="shared" si="11"/>
        <v>1942.4064333333331</v>
      </c>
      <c r="AF103" s="58"/>
    </row>
    <row r="104" spans="2:32" ht="18" customHeight="1" x14ac:dyDescent="0.3">
      <c r="B104" s="146"/>
      <c r="C104" s="126"/>
      <c r="D104" s="3" t="s">
        <v>58</v>
      </c>
      <c r="E104" s="1" t="s">
        <v>210</v>
      </c>
      <c r="F104" s="15" t="s">
        <v>156</v>
      </c>
      <c r="G104" s="10">
        <v>0.01</v>
      </c>
      <c r="H104" s="9">
        <f>H100*$G$104</f>
        <v>1.0857916666666667</v>
      </c>
      <c r="I104" s="6">
        <f>H104*H71</f>
        <v>58.632750000000001</v>
      </c>
      <c r="J104" s="6">
        <f t="shared" si="0"/>
        <v>1641.7170000000001</v>
      </c>
      <c r="K104" s="9">
        <f>K100*$G$104</f>
        <v>1.4483333333333333</v>
      </c>
      <c r="L104" s="6">
        <f>K104*K71</f>
        <v>195.52499999999998</v>
      </c>
      <c r="M104" s="6">
        <f t="shared" si="28"/>
        <v>5474.6999999999989</v>
      </c>
      <c r="N104" s="9">
        <f>N100*$G$104</f>
        <v>1.0857916666666667</v>
      </c>
      <c r="O104" s="6">
        <f>N104*N71</f>
        <v>7.6005416666666665</v>
      </c>
      <c r="P104" s="6">
        <f t="shared" si="29"/>
        <v>212.81516666666667</v>
      </c>
      <c r="Q104" s="9">
        <f>Q100*$G$104</f>
        <v>1.5222000000000002</v>
      </c>
      <c r="R104" s="6">
        <f>Q104*Q71</f>
        <v>0</v>
      </c>
      <c r="S104" s="6">
        <f t="shared" si="30"/>
        <v>0</v>
      </c>
      <c r="T104" s="9">
        <f>T100*$G$104</f>
        <v>3.7</v>
      </c>
      <c r="U104" s="6">
        <f>T104*T71</f>
        <v>29.6</v>
      </c>
      <c r="V104" s="6">
        <f t="shared" si="31"/>
        <v>828.80000000000007</v>
      </c>
      <c r="W104" s="9">
        <f>W100*$G$104</f>
        <v>4.1916666666666664</v>
      </c>
      <c r="X104" s="6">
        <f>W104*W71</f>
        <v>0</v>
      </c>
      <c r="Y104" s="6">
        <f t="shared" si="32"/>
        <v>0</v>
      </c>
      <c r="Z104" s="9">
        <f>Z100*$G$104</f>
        <v>1.85</v>
      </c>
      <c r="AA104" s="6">
        <f>Z104*Z71</f>
        <v>55.5</v>
      </c>
      <c r="AB104" s="6">
        <f t="shared" si="33"/>
        <v>1554</v>
      </c>
      <c r="AC104" s="6">
        <f t="shared" si="10"/>
        <v>346.85829166666667</v>
      </c>
      <c r="AD104" s="6">
        <f t="shared" si="11"/>
        <v>9712.0321666666659</v>
      </c>
      <c r="AF104" s="58"/>
    </row>
    <row r="105" spans="2:32" ht="18" customHeight="1" x14ac:dyDescent="0.3">
      <c r="B105" s="146"/>
      <c r="C105" s="126"/>
      <c r="D105" s="3" t="s">
        <v>59</v>
      </c>
      <c r="E105" s="1" t="s">
        <v>211</v>
      </c>
      <c r="F105" s="15" t="s">
        <v>157</v>
      </c>
      <c r="G105" s="10">
        <v>1.4999999999999999E-2</v>
      </c>
      <c r="H105" s="9">
        <f>H100*$G$105</f>
        <v>1.6286874999999998</v>
      </c>
      <c r="I105" s="6">
        <f>H105*H71</f>
        <v>87.949124999999995</v>
      </c>
      <c r="J105" s="6">
        <f t="shared" si="0"/>
        <v>2462.5754999999999</v>
      </c>
      <c r="K105" s="9">
        <f>K100*$G$105</f>
        <v>2.1724999999999994</v>
      </c>
      <c r="L105" s="6">
        <f>K105*K71</f>
        <v>293.28749999999991</v>
      </c>
      <c r="M105" s="6">
        <f t="shared" si="28"/>
        <v>8212.0499999999975</v>
      </c>
      <c r="N105" s="9">
        <f>N100*$G$105</f>
        <v>1.6286874999999998</v>
      </c>
      <c r="O105" s="6">
        <f>N105*N71</f>
        <v>11.400812499999999</v>
      </c>
      <c r="P105" s="6">
        <f t="shared" si="29"/>
        <v>319.22274999999996</v>
      </c>
      <c r="Q105" s="9">
        <f>Q100*$G$105</f>
        <v>2.2833000000000001</v>
      </c>
      <c r="R105" s="6">
        <f>Q105*Q71</f>
        <v>0</v>
      </c>
      <c r="S105" s="6">
        <f t="shared" si="30"/>
        <v>0</v>
      </c>
      <c r="T105" s="9">
        <f>T100*$G$105</f>
        <v>5.55</v>
      </c>
      <c r="U105" s="6">
        <f>T105*T71</f>
        <v>44.4</v>
      </c>
      <c r="V105" s="6">
        <f t="shared" si="31"/>
        <v>1243.2</v>
      </c>
      <c r="W105" s="9">
        <f>W100*$G$105</f>
        <v>6.2874999999999988</v>
      </c>
      <c r="X105" s="6">
        <f>W105*W71</f>
        <v>0</v>
      </c>
      <c r="Y105" s="6">
        <f t="shared" si="32"/>
        <v>0</v>
      </c>
      <c r="Z105" s="9">
        <f>Z100*$G$105</f>
        <v>2.7749999999999999</v>
      </c>
      <c r="AA105" s="6">
        <f>Z105*Z71</f>
        <v>83.25</v>
      </c>
      <c r="AB105" s="6">
        <f t="shared" si="33"/>
        <v>2331</v>
      </c>
      <c r="AC105" s="6">
        <f t="shared" si="10"/>
        <v>520.2874374999999</v>
      </c>
      <c r="AD105" s="6">
        <f t="shared" si="11"/>
        <v>14568.04825</v>
      </c>
      <c r="AF105" s="58"/>
    </row>
    <row r="106" spans="2:32" ht="18" customHeight="1" x14ac:dyDescent="0.3">
      <c r="B106" s="146"/>
      <c r="C106" s="126"/>
      <c r="D106" s="3" t="s">
        <v>60</v>
      </c>
      <c r="E106" s="1" t="s">
        <v>24</v>
      </c>
      <c r="F106" s="15" t="s">
        <v>158</v>
      </c>
      <c r="G106" s="10">
        <v>6.0000000000000001E-3</v>
      </c>
      <c r="H106" s="9">
        <f>H100*$G$106</f>
        <v>0.65147500000000003</v>
      </c>
      <c r="I106" s="6">
        <f>H106*H71</f>
        <v>35.179650000000002</v>
      </c>
      <c r="J106" s="6">
        <f t="shared" si="0"/>
        <v>985.03020000000004</v>
      </c>
      <c r="K106" s="9">
        <f>K100*$G$106</f>
        <v>0.86899999999999988</v>
      </c>
      <c r="L106" s="6">
        <f>K106*K71</f>
        <v>117.31499999999998</v>
      </c>
      <c r="M106" s="6">
        <f t="shared" si="28"/>
        <v>3284.8199999999997</v>
      </c>
      <c r="N106" s="9">
        <f>N100*$G$106</f>
        <v>0.65147500000000003</v>
      </c>
      <c r="O106" s="6">
        <f>N106*N71</f>
        <v>4.5603250000000006</v>
      </c>
      <c r="P106" s="6">
        <f t="shared" si="29"/>
        <v>127.68910000000002</v>
      </c>
      <c r="Q106" s="9">
        <f>Q100*$G$106</f>
        <v>0.91332000000000013</v>
      </c>
      <c r="R106" s="6">
        <f>Q106*Q71</f>
        <v>0</v>
      </c>
      <c r="S106" s="6">
        <f t="shared" si="30"/>
        <v>0</v>
      </c>
      <c r="T106" s="9">
        <f>T100*$G$106</f>
        <v>2.2200000000000002</v>
      </c>
      <c r="U106" s="6">
        <f>T106*T71</f>
        <v>17.760000000000002</v>
      </c>
      <c r="V106" s="6">
        <f t="shared" si="31"/>
        <v>497.28000000000003</v>
      </c>
      <c r="W106" s="9">
        <f>W100*$G$106</f>
        <v>2.5149999999999997</v>
      </c>
      <c r="X106" s="6">
        <f>W106*W71</f>
        <v>0</v>
      </c>
      <c r="Y106" s="6">
        <f t="shared" si="32"/>
        <v>0</v>
      </c>
      <c r="Z106" s="9">
        <f>Z100*$G$106</f>
        <v>1.1100000000000001</v>
      </c>
      <c r="AA106" s="6">
        <f>Z106*Z71</f>
        <v>33.300000000000004</v>
      </c>
      <c r="AB106" s="6">
        <f t="shared" si="33"/>
        <v>932.40000000000009</v>
      </c>
      <c r="AC106" s="6">
        <f t="shared" si="10"/>
        <v>208.11497499999999</v>
      </c>
      <c r="AD106" s="6">
        <f t="shared" si="11"/>
        <v>5827.2192999999988</v>
      </c>
      <c r="AF106" s="58"/>
    </row>
    <row r="107" spans="2:32" ht="18" customHeight="1" x14ac:dyDescent="0.3">
      <c r="B107" s="146"/>
      <c r="C107" s="126"/>
      <c r="D107" s="3" t="s">
        <v>61</v>
      </c>
      <c r="E107" s="4" t="s">
        <v>26</v>
      </c>
      <c r="F107" s="11" t="s">
        <v>159</v>
      </c>
      <c r="G107" s="10">
        <v>2.5000000000000001E-2</v>
      </c>
      <c r="H107" s="9">
        <f>H100*$G$107</f>
        <v>2.714479166666667</v>
      </c>
      <c r="I107" s="6">
        <f>H107*H71</f>
        <v>146.58187500000003</v>
      </c>
      <c r="J107" s="6">
        <f t="shared" si="0"/>
        <v>4104.2925000000005</v>
      </c>
      <c r="K107" s="9">
        <f>K100*$G$107</f>
        <v>3.6208333333333331</v>
      </c>
      <c r="L107" s="6">
        <f>K107*K71</f>
        <v>488.8125</v>
      </c>
      <c r="M107" s="6">
        <f t="shared" si="28"/>
        <v>13686.75</v>
      </c>
      <c r="N107" s="9">
        <f>N100*$G$107</f>
        <v>2.714479166666667</v>
      </c>
      <c r="O107" s="6">
        <f>N107*N71</f>
        <v>19.001354166666669</v>
      </c>
      <c r="P107" s="6">
        <f t="shared" si="29"/>
        <v>532.03791666666677</v>
      </c>
      <c r="Q107" s="9">
        <f>Q100*$G$107</f>
        <v>3.8055000000000008</v>
      </c>
      <c r="R107" s="6">
        <f>Q107*Q71</f>
        <v>0</v>
      </c>
      <c r="S107" s="6">
        <f t="shared" si="30"/>
        <v>0</v>
      </c>
      <c r="T107" s="9">
        <f>T100*$G$107</f>
        <v>9.25</v>
      </c>
      <c r="U107" s="6">
        <f>T107*T71</f>
        <v>74</v>
      </c>
      <c r="V107" s="6">
        <f t="shared" si="31"/>
        <v>2072</v>
      </c>
      <c r="W107" s="9">
        <f>W100*$G$107</f>
        <v>10.479166666666666</v>
      </c>
      <c r="X107" s="6">
        <f>W107*W71</f>
        <v>0</v>
      </c>
      <c r="Y107" s="6">
        <f t="shared" si="32"/>
        <v>0</v>
      </c>
      <c r="Z107" s="9">
        <f>Z100*$G$107</f>
        <v>4.625</v>
      </c>
      <c r="AA107" s="6">
        <f>Z107*Z71</f>
        <v>138.75</v>
      </c>
      <c r="AB107" s="6">
        <f t="shared" si="33"/>
        <v>3885</v>
      </c>
      <c r="AC107" s="6">
        <f t="shared" si="10"/>
        <v>867.1457291666668</v>
      </c>
      <c r="AD107" s="6">
        <f t="shared" si="11"/>
        <v>24280.080416666668</v>
      </c>
      <c r="AF107" s="58"/>
    </row>
    <row r="108" spans="2:32" ht="18" customHeight="1" x14ac:dyDescent="0.3">
      <c r="B108" s="146"/>
      <c r="C108" s="126"/>
      <c r="D108" s="3" t="s">
        <v>62</v>
      </c>
      <c r="E108" s="4" t="s">
        <v>28</v>
      </c>
      <c r="F108" s="11" t="s">
        <v>289</v>
      </c>
      <c r="G108" s="95">
        <v>2.8997999999999999E-2</v>
      </c>
      <c r="H108" s="9">
        <f>H100*$G$108</f>
        <v>3.148578675</v>
      </c>
      <c r="I108" s="6">
        <f>H108*H71</f>
        <v>170.02324845000001</v>
      </c>
      <c r="J108" s="6">
        <f t="shared" si="0"/>
        <v>4760.6509566000004</v>
      </c>
      <c r="K108" s="9">
        <f>K100*$G$108</f>
        <v>4.199876999999999</v>
      </c>
      <c r="L108" s="6">
        <f>K108*K71</f>
        <v>566.98339499999986</v>
      </c>
      <c r="M108" s="6">
        <f t="shared" si="28"/>
        <v>15875.535059999997</v>
      </c>
      <c r="N108" s="9">
        <f>N100*$G$108</f>
        <v>3.148578675</v>
      </c>
      <c r="O108" s="6">
        <f>N108*N71</f>
        <v>22.040050725</v>
      </c>
      <c r="P108" s="6">
        <f t="shared" si="29"/>
        <v>617.12142029999995</v>
      </c>
      <c r="Q108" s="9">
        <f>Q100*$G$108</f>
        <v>4.4140755600000006</v>
      </c>
      <c r="R108" s="6">
        <f>Q108*Q71</f>
        <v>0</v>
      </c>
      <c r="S108" s="6">
        <f t="shared" si="30"/>
        <v>0</v>
      </c>
      <c r="T108" s="9">
        <f>T100*$G$108</f>
        <v>10.72926</v>
      </c>
      <c r="U108" s="6">
        <f>T108*T71</f>
        <v>85.83408</v>
      </c>
      <c r="V108" s="6">
        <f t="shared" si="31"/>
        <v>2403.3542400000001</v>
      </c>
      <c r="W108" s="9">
        <f>W100*$G$108</f>
        <v>12.154995</v>
      </c>
      <c r="X108" s="6">
        <f>W108*W71</f>
        <v>0</v>
      </c>
      <c r="Y108" s="6">
        <f t="shared" si="32"/>
        <v>0</v>
      </c>
      <c r="Z108" s="9">
        <f>Z100*$G$108</f>
        <v>5.36463</v>
      </c>
      <c r="AA108" s="6">
        <f>Z108*Z71</f>
        <v>160.93889999999999</v>
      </c>
      <c r="AB108" s="6">
        <f t="shared" si="33"/>
        <v>4506.2891999999993</v>
      </c>
      <c r="AC108" s="6">
        <f t="shared" si="10"/>
        <v>1005.8196741749998</v>
      </c>
      <c r="AD108" s="6">
        <f t="shared" si="11"/>
        <v>28162.950876899995</v>
      </c>
      <c r="AF108" s="58"/>
    </row>
    <row r="109" spans="2:32" ht="27.75" customHeight="1" x14ac:dyDescent="0.3">
      <c r="B109" s="146"/>
      <c r="C109" s="126"/>
      <c r="D109" s="65" t="s">
        <v>63</v>
      </c>
      <c r="E109" s="2" t="s">
        <v>30</v>
      </c>
      <c r="F109" s="117" t="s">
        <v>134</v>
      </c>
      <c r="G109" s="119"/>
      <c r="H109" s="12">
        <f>SUM(H100:H108)</f>
        <v>126.71167034166666</v>
      </c>
      <c r="I109" s="20">
        <f>H109*H71</f>
        <v>6842.4301984499998</v>
      </c>
      <c r="J109" s="12">
        <f>I109*28</f>
        <v>191588.0455566</v>
      </c>
      <c r="K109" s="12">
        <f>SUM(K100:K108)</f>
        <v>169.0202103333333</v>
      </c>
      <c r="L109" s="20">
        <f>K109*K71</f>
        <v>22817.728394999995</v>
      </c>
      <c r="M109" s="12">
        <f>L109*28</f>
        <v>638896.39505999989</v>
      </c>
      <c r="N109" s="12">
        <f>SUM(N100:N108)</f>
        <v>126.71167034166666</v>
      </c>
      <c r="O109" s="20">
        <f>N109*N71</f>
        <v>886.98169239166668</v>
      </c>
      <c r="P109" s="12">
        <f>O109*28</f>
        <v>24835.487386966666</v>
      </c>
      <c r="Q109" s="12">
        <f>SUM(Q100:Q108)</f>
        <v>177.64043556000001</v>
      </c>
      <c r="R109" s="20">
        <f>Q109*Q71</f>
        <v>0</v>
      </c>
      <c r="S109" s="12">
        <f>R109*28</f>
        <v>0</v>
      </c>
      <c r="T109" s="12">
        <f>SUM(T100:T108)</f>
        <v>431.78926000000007</v>
      </c>
      <c r="U109" s="20">
        <f>T109*T71</f>
        <v>3454.3140800000006</v>
      </c>
      <c r="V109" s="12">
        <f>U109*28</f>
        <v>96720.794240000017</v>
      </c>
      <c r="W109" s="12">
        <f>SUM(W100:W108)</f>
        <v>489.16666166666658</v>
      </c>
      <c r="X109" s="20">
        <f>W109*W71</f>
        <v>0</v>
      </c>
      <c r="Y109" s="12">
        <f>X109*28</f>
        <v>0</v>
      </c>
      <c r="Z109" s="12">
        <f>SUM(Z100:Z108)</f>
        <v>215.89463000000003</v>
      </c>
      <c r="AA109" s="20">
        <f>Z109*Z71</f>
        <v>6476.8389000000006</v>
      </c>
      <c r="AB109" s="12">
        <f>AA109*28</f>
        <v>181351.48920000001</v>
      </c>
      <c r="AC109" s="24">
        <f t="shared" si="10"/>
        <v>40478.293265841668</v>
      </c>
      <c r="AD109" s="24">
        <f t="shared" si="11"/>
        <v>1133392.2114435665</v>
      </c>
      <c r="AF109" s="58"/>
    </row>
    <row r="110" spans="2:32" ht="20.399999999999999" customHeight="1" x14ac:dyDescent="0.3">
      <c r="B110" s="146"/>
      <c r="C110" s="126" t="s">
        <v>125</v>
      </c>
      <c r="D110" s="76" t="s">
        <v>64</v>
      </c>
      <c r="E110" s="96" t="s">
        <v>12</v>
      </c>
      <c r="F110" s="135" t="s">
        <v>272</v>
      </c>
      <c r="G110" s="136"/>
      <c r="H110" s="9">
        <f>I71/30*((26.6339*28/12)/28)</f>
        <v>96.396222236111115</v>
      </c>
      <c r="I110" s="6">
        <f>H110*H71</f>
        <v>5205.39600075</v>
      </c>
      <c r="J110" s="6">
        <f t="shared" si="0"/>
        <v>145751.088021</v>
      </c>
      <c r="K110" s="9">
        <f>L71/30*((26.6339*28/12)/28)</f>
        <v>128.58255055555557</v>
      </c>
      <c r="L110" s="6">
        <f>K110*K71</f>
        <v>17358.644325000001</v>
      </c>
      <c r="M110" s="6">
        <f t="shared" ref="M110:M121" si="34">L110*28</f>
        <v>486042.04110000003</v>
      </c>
      <c r="N110" s="9">
        <f>O71/30*((26.6339*28/12)/28)</f>
        <v>96.396222236111115</v>
      </c>
      <c r="O110" s="6">
        <f>N110*N71</f>
        <v>674.77355565277776</v>
      </c>
      <c r="P110" s="6">
        <f t="shared" ref="P110:P121" si="35">O110*28</f>
        <v>18893.659558277777</v>
      </c>
      <c r="Q110" s="9">
        <f>R71/30*((26.6339*28/12)/28)</f>
        <v>135.14040860000003</v>
      </c>
      <c r="R110" s="6">
        <f>Q110*Q71</f>
        <v>0</v>
      </c>
      <c r="S110" s="6">
        <f t="shared" ref="S110:S121" si="36">R110*28</f>
        <v>0</v>
      </c>
      <c r="T110" s="9">
        <f>U71/30*((26.6339*28/12)/28)</f>
        <v>328.4847666666667</v>
      </c>
      <c r="U110" s="6">
        <f>T110*T71</f>
        <v>2627.8781333333336</v>
      </c>
      <c r="V110" s="6">
        <f t="shared" ref="V110:V121" si="37">U110*28</f>
        <v>73580.587733333348</v>
      </c>
      <c r="W110" s="9">
        <f>X71/30*((26.6339*28/12)/28)</f>
        <v>372.13476944444443</v>
      </c>
      <c r="X110" s="6">
        <f>W110*W71</f>
        <v>0</v>
      </c>
      <c r="Y110" s="6">
        <f t="shared" ref="Y110:Y121" si="38">X110*28</f>
        <v>0</v>
      </c>
      <c r="Z110" s="9">
        <f>AA71/30*((26.6339*28/12)/28)</f>
        <v>164.24238333333335</v>
      </c>
      <c r="AA110" s="6">
        <f>Z110*Z71</f>
        <v>4927.2715000000007</v>
      </c>
      <c r="AB110" s="6">
        <f t="shared" ref="AB110:AB121" si="39">AA110*28</f>
        <v>137963.60200000001</v>
      </c>
      <c r="AC110" s="6">
        <f t="shared" si="10"/>
        <v>30793.963514736111</v>
      </c>
      <c r="AD110" s="6">
        <f t="shared" si="11"/>
        <v>862230.97841261118</v>
      </c>
      <c r="AF110" s="58"/>
    </row>
    <row r="111" spans="2:32" ht="20.399999999999999" customHeight="1" x14ac:dyDescent="0.3">
      <c r="B111" s="146"/>
      <c r="C111" s="126"/>
      <c r="D111" s="76" t="s">
        <v>65</v>
      </c>
      <c r="E111" s="96" t="s">
        <v>66</v>
      </c>
      <c r="F111" s="135" t="s">
        <v>273</v>
      </c>
      <c r="G111" s="136"/>
      <c r="H111" s="13">
        <f>H89/30*(26.6339*28/12)/28</f>
        <v>41.379616053392851</v>
      </c>
      <c r="I111" s="6">
        <f>H111*H71</f>
        <v>2234.4992668832137</v>
      </c>
      <c r="J111" s="6">
        <f t="shared" si="0"/>
        <v>62565.979472729989</v>
      </c>
      <c r="K111" s="13">
        <f>K89/30*(26.6339*28/12)/28</f>
        <v>39.586377761309521</v>
      </c>
      <c r="L111" s="6">
        <f>K111*K71</f>
        <v>5344.1609977767857</v>
      </c>
      <c r="M111" s="6">
        <f t="shared" si="34"/>
        <v>149636.50793774999</v>
      </c>
      <c r="N111" s="13">
        <f>N89/30*(26.6339*28/12)/28</f>
        <v>41.379616053392851</v>
      </c>
      <c r="O111" s="6">
        <f>N111*N71</f>
        <v>289.65731237374996</v>
      </c>
      <c r="P111" s="6">
        <f t="shared" si="35"/>
        <v>8110.4047464649993</v>
      </c>
      <c r="Q111" s="13">
        <f>Q89/30*(26.6339*28/12)/28</f>
        <v>39.221011384547616</v>
      </c>
      <c r="R111" s="6">
        <f>Q111*Q71</f>
        <v>0</v>
      </c>
      <c r="S111" s="6">
        <f t="shared" si="36"/>
        <v>0</v>
      </c>
      <c r="T111" s="13">
        <f>T89/30*(26.6339*28/12)/28</f>
        <v>48.687509030555553</v>
      </c>
      <c r="U111" s="6">
        <f>T111*T71</f>
        <v>389.50007224444442</v>
      </c>
      <c r="V111" s="6">
        <f t="shared" si="37"/>
        <v>10906.002022844445</v>
      </c>
      <c r="W111" s="13">
        <f>W89/30*(26.6339*28/12)/28</f>
        <v>48.687509030555553</v>
      </c>
      <c r="X111" s="6">
        <f>W111*W71</f>
        <v>0</v>
      </c>
      <c r="Y111" s="6">
        <f t="shared" si="38"/>
        <v>0</v>
      </c>
      <c r="Z111" s="13">
        <f>Z89/30*(26.6339*28/12)/28</f>
        <v>55.406227375793648</v>
      </c>
      <c r="AA111" s="6">
        <f>Z111*Z71</f>
        <v>1662.1868212738095</v>
      </c>
      <c r="AB111" s="6">
        <f t="shared" si="39"/>
        <v>46541.230995666665</v>
      </c>
      <c r="AC111" s="6">
        <f t="shared" si="10"/>
        <v>9920.0044705520031</v>
      </c>
      <c r="AD111" s="6">
        <f t="shared" si="11"/>
        <v>277760.12517545611</v>
      </c>
      <c r="AF111" s="58"/>
    </row>
    <row r="112" spans="2:32" ht="18" customHeight="1" x14ac:dyDescent="0.3">
      <c r="B112" s="146"/>
      <c r="C112" s="126"/>
      <c r="D112" s="3" t="s">
        <v>67</v>
      </c>
      <c r="E112" s="4" t="s">
        <v>42</v>
      </c>
      <c r="F112" s="129" t="s">
        <v>143</v>
      </c>
      <c r="G112" s="130"/>
      <c r="H112" s="9">
        <f>(I71+I71/3)/12/28</f>
        <v>5.1704365079365076</v>
      </c>
      <c r="I112" s="6">
        <f>H112*H71</f>
        <v>279.20357142857142</v>
      </c>
      <c r="J112" s="6">
        <f t="shared" si="0"/>
        <v>7817.7</v>
      </c>
      <c r="K112" s="9">
        <f>(L71+L71/3)/12/28</f>
        <v>6.8968253968253972</v>
      </c>
      <c r="L112" s="6">
        <f>K112*K71</f>
        <v>931.07142857142867</v>
      </c>
      <c r="M112" s="6">
        <f t="shared" si="34"/>
        <v>26070.000000000004</v>
      </c>
      <c r="N112" s="9">
        <f>(O71+O71/3)/12/28</f>
        <v>5.1704365079365076</v>
      </c>
      <c r="O112" s="6">
        <f>N112*N71</f>
        <v>36.193055555555553</v>
      </c>
      <c r="P112" s="6">
        <f t="shared" si="35"/>
        <v>1013.4055555555555</v>
      </c>
      <c r="Q112" s="9">
        <f>(R71+R71/3)/12/28</f>
        <v>7.2485714285714291</v>
      </c>
      <c r="R112" s="6">
        <f>Q112*Q71</f>
        <v>0</v>
      </c>
      <c r="S112" s="6">
        <f t="shared" si="36"/>
        <v>0</v>
      </c>
      <c r="T112" s="9">
        <f>(U71+U71/3)/12/28</f>
        <v>17.619047619047617</v>
      </c>
      <c r="U112" s="6">
        <f>T112*T71</f>
        <v>140.95238095238093</v>
      </c>
      <c r="V112" s="6">
        <f t="shared" si="37"/>
        <v>3946.6666666666661</v>
      </c>
      <c r="W112" s="9">
        <f>(X71+X71/3)/12/28</f>
        <v>19.960317460317462</v>
      </c>
      <c r="X112" s="6">
        <f>W112*W71</f>
        <v>0</v>
      </c>
      <c r="Y112" s="6">
        <f t="shared" si="38"/>
        <v>0</v>
      </c>
      <c r="Z112" s="9">
        <f>(AA71+AA71/3)/12/28</f>
        <v>8.8095238095238084</v>
      </c>
      <c r="AA112" s="6">
        <f>Z112*Z71</f>
        <v>264.28571428571428</v>
      </c>
      <c r="AB112" s="6">
        <f t="shared" si="39"/>
        <v>7400</v>
      </c>
      <c r="AC112" s="6">
        <f t="shared" si="10"/>
        <v>1651.7061507936507</v>
      </c>
      <c r="AD112" s="6">
        <f t="shared" si="11"/>
        <v>46247.772222222222</v>
      </c>
      <c r="AF112" s="58"/>
    </row>
    <row r="113" spans="2:32" ht="18" customHeight="1" x14ac:dyDescent="0.3">
      <c r="B113" s="146"/>
      <c r="C113" s="126"/>
      <c r="D113" s="3" t="s">
        <v>68</v>
      </c>
      <c r="E113" s="4" t="s">
        <v>53</v>
      </c>
      <c r="F113" s="129" t="s">
        <v>144</v>
      </c>
      <c r="G113" s="130"/>
      <c r="H113" s="9">
        <f>I71/12/28</f>
        <v>3.8778273809523811</v>
      </c>
      <c r="I113" s="6">
        <f>H113*H71</f>
        <v>209.40267857142857</v>
      </c>
      <c r="J113" s="6">
        <f t="shared" si="0"/>
        <v>5863.2749999999996</v>
      </c>
      <c r="K113" s="9">
        <f>L71/12/28</f>
        <v>5.1726190476190483</v>
      </c>
      <c r="L113" s="6">
        <f>K113*K71</f>
        <v>698.30357142857156</v>
      </c>
      <c r="M113" s="6">
        <f t="shared" si="34"/>
        <v>19552.500000000004</v>
      </c>
      <c r="N113" s="9">
        <f>O71/12/28</f>
        <v>3.8778273809523811</v>
      </c>
      <c r="O113" s="6">
        <f>N113*N71</f>
        <v>27.144791666666666</v>
      </c>
      <c r="P113" s="6">
        <f t="shared" si="35"/>
        <v>760.05416666666667</v>
      </c>
      <c r="Q113" s="9">
        <f>R71/12/28</f>
        <v>5.4364285714285714</v>
      </c>
      <c r="R113" s="6">
        <f>Q113*Q71</f>
        <v>0</v>
      </c>
      <c r="S113" s="6">
        <f t="shared" si="36"/>
        <v>0</v>
      </c>
      <c r="T113" s="9">
        <f>U71/12/28</f>
        <v>13.214285714285714</v>
      </c>
      <c r="U113" s="6">
        <f>T113*T71</f>
        <v>105.71428571428571</v>
      </c>
      <c r="V113" s="6">
        <f t="shared" si="37"/>
        <v>2960</v>
      </c>
      <c r="W113" s="9">
        <f>X71/12/28</f>
        <v>14.970238095238097</v>
      </c>
      <c r="X113" s="6">
        <f>W113*W71</f>
        <v>0</v>
      </c>
      <c r="Y113" s="6">
        <f t="shared" si="38"/>
        <v>0</v>
      </c>
      <c r="Z113" s="9">
        <f>AA71/12/28</f>
        <v>6.6071428571428568</v>
      </c>
      <c r="AA113" s="6">
        <f>Z113*Z71</f>
        <v>198.21428571428569</v>
      </c>
      <c r="AB113" s="6">
        <f t="shared" si="39"/>
        <v>5549.9999999999991</v>
      </c>
      <c r="AC113" s="6">
        <f t="shared" si="10"/>
        <v>1238.7796130952383</v>
      </c>
      <c r="AD113" s="6">
        <f t="shared" si="11"/>
        <v>34685.829166666663</v>
      </c>
      <c r="AF113" s="58"/>
    </row>
    <row r="114" spans="2:32" ht="18" customHeight="1" x14ac:dyDescent="0.3">
      <c r="B114" s="146"/>
      <c r="C114" s="126"/>
      <c r="D114" s="3" t="s">
        <v>69</v>
      </c>
      <c r="E114" s="4" t="s">
        <v>16</v>
      </c>
      <c r="F114" s="11" t="s">
        <v>160</v>
      </c>
      <c r="G114" s="10">
        <v>0.08</v>
      </c>
      <c r="H114" s="13">
        <f>(H110+H112+H113)*$G$114</f>
        <v>8.4355588900000011</v>
      </c>
      <c r="I114" s="6">
        <f>H114*H71</f>
        <v>455.52018006000009</v>
      </c>
      <c r="J114" s="6">
        <f t="shared" si="0"/>
        <v>12754.565041680002</v>
      </c>
      <c r="K114" s="13">
        <f>(K110+K112+K113)*$G$114</f>
        <v>11.252159600000001</v>
      </c>
      <c r="L114" s="6">
        <f>K114*K71</f>
        <v>1519.0415460000002</v>
      </c>
      <c r="M114" s="6">
        <f t="shared" si="34"/>
        <v>42533.163288000003</v>
      </c>
      <c r="N114" s="13">
        <f>(N110+N112+N113)*$G$114</f>
        <v>8.4355588900000011</v>
      </c>
      <c r="O114" s="6">
        <f>N114*N71</f>
        <v>59.048912230000006</v>
      </c>
      <c r="P114" s="6">
        <f t="shared" si="35"/>
        <v>1653.3695424400003</v>
      </c>
      <c r="Q114" s="13">
        <f>(Q110+Q112+Q113)*$G$114</f>
        <v>11.826032688000003</v>
      </c>
      <c r="R114" s="6">
        <f>Q114*Q71</f>
        <v>0</v>
      </c>
      <c r="S114" s="6">
        <f t="shared" si="36"/>
        <v>0</v>
      </c>
      <c r="T114" s="13">
        <f>(T110+T112+T113)*$G$114</f>
        <v>28.745448000000003</v>
      </c>
      <c r="U114" s="6">
        <f>T114*T71</f>
        <v>229.96358400000003</v>
      </c>
      <c r="V114" s="6">
        <f t="shared" si="37"/>
        <v>6438.9803520000005</v>
      </c>
      <c r="W114" s="13">
        <f>(W110+W112+W113)*$G$114</f>
        <v>32.565225999999996</v>
      </c>
      <c r="X114" s="6">
        <f>W114*W71</f>
        <v>0</v>
      </c>
      <c r="Y114" s="6">
        <f t="shared" si="38"/>
        <v>0</v>
      </c>
      <c r="Z114" s="13">
        <f>(Z110+Z112+Z113)*$G$114</f>
        <v>14.372724000000002</v>
      </c>
      <c r="AA114" s="6">
        <f>Z114*Z71</f>
        <v>431.18172000000004</v>
      </c>
      <c r="AB114" s="6">
        <f t="shared" si="39"/>
        <v>12073.088160000001</v>
      </c>
      <c r="AC114" s="6">
        <f t="shared" si="10"/>
        <v>2694.7559422900003</v>
      </c>
      <c r="AD114" s="6">
        <f t="shared" si="11"/>
        <v>75453.166384120006</v>
      </c>
      <c r="AF114" s="58"/>
    </row>
    <row r="115" spans="2:32" ht="18" customHeight="1" x14ac:dyDescent="0.3">
      <c r="B115" s="146"/>
      <c r="C115" s="126"/>
      <c r="D115" s="3" t="s">
        <v>70</v>
      </c>
      <c r="E115" s="4" t="s">
        <v>18</v>
      </c>
      <c r="F115" s="11" t="s">
        <v>161</v>
      </c>
      <c r="G115" s="10">
        <v>0</v>
      </c>
      <c r="H115" s="13">
        <f>(H110+H112+H113)*$G$115</f>
        <v>0</v>
      </c>
      <c r="I115" s="6">
        <f>H115*H71</f>
        <v>0</v>
      </c>
      <c r="J115" s="6">
        <f t="shared" si="0"/>
        <v>0</v>
      </c>
      <c r="K115" s="13">
        <f>(K110+K112+K113)*$G$115</f>
        <v>0</v>
      </c>
      <c r="L115" s="6">
        <f>K115*K71</f>
        <v>0</v>
      </c>
      <c r="M115" s="6">
        <f t="shared" si="34"/>
        <v>0</v>
      </c>
      <c r="N115" s="13">
        <f>(N110+N112+N113)*$G$115</f>
        <v>0</v>
      </c>
      <c r="O115" s="6">
        <f>N115*N71</f>
        <v>0</v>
      </c>
      <c r="P115" s="6">
        <f t="shared" si="35"/>
        <v>0</v>
      </c>
      <c r="Q115" s="13">
        <f>(Q110+Q112+Q113)*$G$115</f>
        <v>0</v>
      </c>
      <c r="R115" s="6">
        <f>Q115*Q71</f>
        <v>0</v>
      </c>
      <c r="S115" s="6">
        <f t="shared" si="36"/>
        <v>0</v>
      </c>
      <c r="T115" s="13">
        <f>(T110+T112+T113)*$G$115</f>
        <v>0</v>
      </c>
      <c r="U115" s="6">
        <f>T115*T71</f>
        <v>0</v>
      </c>
      <c r="V115" s="6">
        <f t="shared" si="37"/>
        <v>0</v>
      </c>
      <c r="W115" s="13">
        <f>(W110+W112+W113)*$G$115</f>
        <v>0</v>
      </c>
      <c r="X115" s="6">
        <f>W115*W71</f>
        <v>0</v>
      </c>
      <c r="Y115" s="6">
        <f t="shared" si="38"/>
        <v>0</v>
      </c>
      <c r="Z115" s="13">
        <f>(Z110+Z112+Z113)*$G$115</f>
        <v>0</v>
      </c>
      <c r="AA115" s="6">
        <f>Z115*Z71</f>
        <v>0</v>
      </c>
      <c r="AB115" s="6">
        <f t="shared" si="39"/>
        <v>0</v>
      </c>
      <c r="AC115" s="6">
        <f t="shared" si="10"/>
        <v>0</v>
      </c>
      <c r="AD115" s="6">
        <f t="shared" si="11"/>
        <v>0</v>
      </c>
      <c r="AF115" s="58"/>
    </row>
    <row r="116" spans="2:32" ht="18" customHeight="1" x14ac:dyDescent="0.3">
      <c r="B116" s="146"/>
      <c r="C116" s="126"/>
      <c r="D116" s="3" t="s">
        <v>71</v>
      </c>
      <c r="E116" s="1" t="s">
        <v>20</v>
      </c>
      <c r="F116" s="15" t="s">
        <v>174</v>
      </c>
      <c r="G116" s="10">
        <v>2E-3</v>
      </c>
      <c r="H116" s="13">
        <f>(H110+H112+H113)*$G$116</f>
        <v>0.21088897225000003</v>
      </c>
      <c r="I116" s="6">
        <f>H116*H71</f>
        <v>11.388004501500001</v>
      </c>
      <c r="J116" s="6">
        <f t="shared" si="0"/>
        <v>318.86412604200001</v>
      </c>
      <c r="K116" s="13">
        <f>(K110+K112+K113)*$G$116</f>
        <v>0.28130399</v>
      </c>
      <c r="L116" s="6">
        <f>K116*K71</f>
        <v>37.97603865</v>
      </c>
      <c r="M116" s="6">
        <f t="shared" si="34"/>
        <v>1063.3290821999999</v>
      </c>
      <c r="N116" s="13">
        <f>(N110+N112+N113)*$G$116</f>
        <v>0.21088897225000003</v>
      </c>
      <c r="O116" s="6">
        <f>N116*N71</f>
        <v>1.4762228057500002</v>
      </c>
      <c r="P116" s="6">
        <f t="shared" si="35"/>
        <v>41.334238561000006</v>
      </c>
      <c r="Q116" s="13">
        <f>(Q110+Q112+Q113)*$G$116</f>
        <v>0.29565081720000008</v>
      </c>
      <c r="R116" s="6">
        <f>Q116*Q71</f>
        <v>0</v>
      </c>
      <c r="S116" s="6">
        <f t="shared" si="36"/>
        <v>0</v>
      </c>
      <c r="T116" s="13">
        <f>(T110+T112+T113)*$G$116</f>
        <v>0.71863620000000006</v>
      </c>
      <c r="U116" s="6">
        <f>T116*T71</f>
        <v>5.7490896000000005</v>
      </c>
      <c r="V116" s="6">
        <f t="shared" si="37"/>
        <v>160.97450880000002</v>
      </c>
      <c r="W116" s="13">
        <f>(W110+W112+W113)*$G$116</f>
        <v>0.81413064999999996</v>
      </c>
      <c r="X116" s="6">
        <f>W116*W71</f>
        <v>0</v>
      </c>
      <c r="Y116" s="6">
        <f t="shared" si="38"/>
        <v>0</v>
      </c>
      <c r="Z116" s="13">
        <f>(Z110+Z112+Z113)*$G$116</f>
        <v>0.35931810000000003</v>
      </c>
      <c r="AA116" s="6">
        <f>Z116*Z71</f>
        <v>10.779543</v>
      </c>
      <c r="AB116" s="6">
        <f t="shared" si="39"/>
        <v>301.82720399999999</v>
      </c>
      <c r="AC116" s="6">
        <f t="shared" si="10"/>
        <v>67.368898557249992</v>
      </c>
      <c r="AD116" s="6">
        <f t="shared" si="11"/>
        <v>1886.3291596029997</v>
      </c>
      <c r="AF116" s="58"/>
    </row>
    <row r="117" spans="2:32" ht="18" customHeight="1" x14ac:dyDescent="0.3">
      <c r="B117" s="146"/>
      <c r="C117" s="126"/>
      <c r="D117" s="3" t="s">
        <v>72</v>
      </c>
      <c r="E117" s="1" t="s">
        <v>210</v>
      </c>
      <c r="F117" s="15" t="s">
        <v>162</v>
      </c>
      <c r="G117" s="10">
        <v>0.01</v>
      </c>
      <c r="H117" s="13">
        <f>(H110+H112+H113)*$G$117</f>
        <v>1.0544448612500001</v>
      </c>
      <c r="I117" s="6">
        <f>H117*H71</f>
        <v>56.940022507500011</v>
      </c>
      <c r="J117" s="6">
        <f t="shared" si="0"/>
        <v>1594.3206302100002</v>
      </c>
      <c r="K117" s="13">
        <f>(K110+K112+K113)*$G$117</f>
        <v>1.4065199500000001</v>
      </c>
      <c r="L117" s="6">
        <f>K117*K71</f>
        <v>189.88019325000002</v>
      </c>
      <c r="M117" s="6">
        <f t="shared" si="34"/>
        <v>5316.6454110000004</v>
      </c>
      <c r="N117" s="13">
        <f>(N110+N112+N113)*$G$117</f>
        <v>1.0544448612500001</v>
      </c>
      <c r="O117" s="6">
        <f>N117*N71</f>
        <v>7.3811140287500008</v>
      </c>
      <c r="P117" s="6">
        <f t="shared" si="35"/>
        <v>206.67119280500003</v>
      </c>
      <c r="Q117" s="13">
        <f>(Q110+Q112+Q113)*$G$117</f>
        <v>1.4782540860000004</v>
      </c>
      <c r="R117" s="6">
        <f>Q117*Q71</f>
        <v>0</v>
      </c>
      <c r="S117" s="6">
        <f t="shared" si="36"/>
        <v>0</v>
      </c>
      <c r="T117" s="13">
        <f>(T110+T112+T113)*$G$117</f>
        <v>3.5931810000000004</v>
      </c>
      <c r="U117" s="6">
        <f>T117*T71</f>
        <v>28.745448000000003</v>
      </c>
      <c r="V117" s="6">
        <f t="shared" si="37"/>
        <v>804.87254400000006</v>
      </c>
      <c r="W117" s="13">
        <f>(W110+W112+W113)*$G$117</f>
        <v>4.0706532499999994</v>
      </c>
      <c r="X117" s="6">
        <f>W117*W71</f>
        <v>0</v>
      </c>
      <c r="Y117" s="6">
        <f t="shared" si="38"/>
        <v>0</v>
      </c>
      <c r="Z117" s="13">
        <f>(Z110+Z112+Z113)*$G$117</f>
        <v>1.7965905000000002</v>
      </c>
      <c r="AA117" s="6">
        <f>Z117*Z71</f>
        <v>53.897715000000005</v>
      </c>
      <c r="AB117" s="6">
        <f t="shared" si="39"/>
        <v>1509.1360200000001</v>
      </c>
      <c r="AC117" s="6">
        <f t="shared" si="10"/>
        <v>336.84449278625004</v>
      </c>
      <c r="AD117" s="6">
        <f t="shared" si="11"/>
        <v>9431.6457980150008</v>
      </c>
      <c r="AF117" s="58"/>
    </row>
    <row r="118" spans="2:32" ht="18" customHeight="1" x14ac:dyDescent="0.3">
      <c r="B118" s="146"/>
      <c r="C118" s="126"/>
      <c r="D118" s="3" t="s">
        <v>73</v>
      </c>
      <c r="E118" s="1" t="s">
        <v>211</v>
      </c>
      <c r="F118" s="15" t="s">
        <v>163</v>
      </c>
      <c r="G118" s="10">
        <v>1.4999999999999999E-2</v>
      </c>
      <c r="H118" s="13">
        <f>(H110+H112+H113)*$G$118</f>
        <v>1.5816672918750001</v>
      </c>
      <c r="I118" s="6">
        <f>H118*H71</f>
        <v>85.410033761250006</v>
      </c>
      <c r="J118" s="6">
        <f t="shared" si="0"/>
        <v>2391.4809453150001</v>
      </c>
      <c r="K118" s="13">
        <f>(K110+K112+K113)*$G$118</f>
        <v>2.1097799249999998</v>
      </c>
      <c r="L118" s="6">
        <f>K118*K71</f>
        <v>284.82028987499996</v>
      </c>
      <c r="M118" s="6">
        <f t="shared" si="34"/>
        <v>7974.9681164999984</v>
      </c>
      <c r="N118" s="13">
        <f>(N110+N112+N113)*$G$118</f>
        <v>1.5816672918750001</v>
      </c>
      <c r="O118" s="6">
        <f>N118*N71</f>
        <v>11.071671043125001</v>
      </c>
      <c r="P118" s="6">
        <f t="shared" si="35"/>
        <v>310.00678920749999</v>
      </c>
      <c r="Q118" s="13">
        <f>(Q110+Q112+Q113)*$G$118</f>
        <v>2.2173811290000005</v>
      </c>
      <c r="R118" s="6">
        <f>Q118*Q71</f>
        <v>0</v>
      </c>
      <c r="S118" s="6">
        <f t="shared" si="36"/>
        <v>0</v>
      </c>
      <c r="T118" s="13">
        <f>(T110+T112+T113)*$G$118</f>
        <v>5.3897715000000002</v>
      </c>
      <c r="U118" s="6">
        <f>T118*T71</f>
        <v>43.118172000000001</v>
      </c>
      <c r="V118" s="6">
        <f t="shared" si="37"/>
        <v>1207.308816</v>
      </c>
      <c r="W118" s="13">
        <f>(W110+W112+W113)*$G$118</f>
        <v>6.1059798749999992</v>
      </c>
      <c r="X118" s="6">
        <f>W118*W71</f>
        <v>0</v>
      </c>
      <c r="Y118" s="6">
        <f t="shared" si="38"/>
        <v>0</v>
      </c>
      <c r="Z118" s="13">
        <f>(Z110+Z112+Z113)*$G$118</f>
        <v>2.6948857500000001</v>
      </c>
      <c r="AA118" s="6">
        <f>Z118*Z71</f>
        <v>80.846572500000008</v>
      </c>
      <c r="AB118" s="6">
        <f t="shared" si="39"/>
        <v>2263.7040300000003</v>
      </c>
      <c r="AC118" s="6">
        <f t="shared" si="10"/>
        <v>505.26673917937501</v>
      </c>
      <c r="AD118" s="6">
        <f t="shared" si="11"/>
        <v>14147.468697022499</v>
      </c>
      <c r="AF118" s="58"/>
    </row>
    <row r="119" spans="2:32" ht="18" customHeight="1" x14ac:dyDescent="0.3">
      <c r="B119" s="146"/>
      <c r="C119" s="126"/>
      <c r="D119" s="3" t="s">
        <v>74</v>
      </c>
      <c r="E119" s="1" t="s">
        <v>24</v>
      </c>
      <c r="F119" s="15" t="s">
        <v>164</v>
      </c>
      <c r="G119" s="10">
        <v>6.0000000000000001E-3</v>
      </c>
      <c r="H119" s="13">
        <f>(H110+H112+H113)*$G$119</f>
        <v>0.63266691675000009</v>
      </c>
      <c r="I119" s="6">
        <f>H119*H71</f>
        <v>34.164013504500005</v>
      </c>
      <c r="J119" s="6">
        <f t="shared" si="0"/>
        <v>956.59237812600009</v>
      </c>
      <c r="K119" s="13">
        <f>(K110+K112+K113)*$G$119</f>
        <v>0.84391197000000007</v>
      </c>
      <c r="L119" s="6">
        <f>K119*K71</f>
        <v>113.92811595000001</v>
      </c>
      <c r="M119" s="6">
        <f t="shared" si="34"/>
        <v>3189.9872466000002</v>
      </c>
      <c r="N119" s="13">
        <f>(N110+N112+N113)*$G$119</f>
        <v>0.63266691675000009</v>
      </c>
      <c r="O119" s="6">
        <f>N119*N71</f>
        <v>4.4286684172500008</v>
      </c>
      <c r="P119" s="6">
        <f t="shared" si="35"/>
        <v>124.00271568300002</v>
      </c>
      <c r="Q119" s="13">
        <f>(Q110+Q112+Q113)*$G$119</f>
        <v>0.88695245160000025</v>
      </c>
      <c r="R119" s="6">
        <f>Q119*Q71</f>
        <v>0</v>
      </c>
      <c r="S119" s="6">
        <f t="shared" si="36"/>
        <v>0</v>
      </c>
      <c r="T119" s="13">
        <f>(T110+T112+T113)*$G$119</f>
        <v>2.1559086000000001</v>
      </c>
      <c r="U119" s="6">
        <f>T119*T71</f>
        <v>17.247268800000001</v>
      </c>
      <c r="V119" s="6">
        <f t="shared" si="37"/>
        <v>482.92352640000001</v>
      </c>
      <c r="W119" s="13">
        <f>(W110+W112+W113)*$G$119</f>
        <v>2.4423919499999998</v>
      </c>
      <c r="X119" s="6">
        <f>W119*W71</f>
        <v>0</v>
      </c>
      <c r="Y119" s="6">
        <f t="shared" si="38"/>
        <v>0</v>
      </c>
      <c r="Z119" s="13">
        <f>(Z110+Z112+Z113)*$G$119</f>
        <v>1.0779543</v>
      </c>
      <c r="AA119" s="6">
        <f>Z119*Z71</f>
        <v>32.338628999999997</v>
      </c>
      <c r="AB119" s="6">
        <f t="shared" si="39"/>
        <v>905.48161199999993</v>
      </c>
      <c r="AC119" s="6">
        <f t="shared" si="10"/>
        <v>202.10669567175003</v>
      </c>
      <c r="AD119" s="6">
        <f t="shared" si="11"/>
        <v>5658.9874788090001</v>
      </c>
      <c r="AF119" s="58"/>
    </row>
    <row r="120" spans="2:32" ht="18" customHeight="1" x14ac:dyDescent="0.3">
      <c r="B120" s="146"/>
      <c r="C120" s="126"/>
      <c r="D120" s="3" t="s">
        <v>75</v>
      </c>
      <c r="E120" s="1" t="s">
        <v>26</v>
      </c>
      <c r="F120" s="15" t="s">
        <v>256</v>
      </c>
      <c r="G120" s="10">
        <v>2.5000000000000001E-2</v>
      </c>
      <c r="H120" s="21">
        <f>(H110+H112+H113)*$G$120</f>
        <v>2.6361121531250005</v>
      </c>
      <c r="I120" s="6">
        <f>H120*H71</f>
        <v>142.35005626875002</v>
      </c>
      <c r="J120" s="6">
        <f t="shared" si="0"/>
        <v>3985.8015755250008</v>
      </c>
      <c r="K120" s="21">
        <f>(K110+K112+K113)*$G$120</f>
        <v>3.5162998750000001</v>
      </c>
      <c r="L120" s="6">
        <f>K120*K71</f>
        <v>474.70048312500001</v>
      </c>
      <c r="M120" s="6">
        <f t="shared" si="34"/>
        <v>13291.6135275</v>
      </c>
      <c r="N120" s="21">
        <f>(N110+N112+N113)*$G$120</f>
        <v>2.6361121531250005</v>
      </c>
      <c r="O120" s="6">
        <f>N120*N71</f>
        <v>18.452785071875002</v>
      </c>
      <c r="P120" s="6">
        <f t="shared" si="35"/>
        <v>516.67798201250002</v>
      </c>
      <c r="Q120" s="21">
        <f>(Q110+Q112+Q113)*$G$120</f>
        <v>3.6956352150000011</v>
      </c>
      <c r="R120" s="6">
        <f>Q120*Q71</f>
        <v>0</v>
      </c>
      <c r="S120" s="6">
        <f t="shared" si="36"/>
        <v>0</v>
      </c>
      <c r="T120" s="21">
        <f>(T110+T112+T113)*$G$120</f>
        <v>8.9829525000000015</v>
      </c>
      <c r="U120" s="6">
        <f>T120*T71</f>
        <v>71.863620000000012</v>
      </c>
      <c r="V120" s="6">
        <f t="shared" si="37"/>
        <v>2012.1813600000003</v>
      </c>
      <c r="W120" s="21">
        <f>(W110+W112+W113)*$G$120</f>
        <v>10.176633125</v>
      </c>
      <c r="X120" s="6">
        <f>W120*W71</f>
        <v>0</v>
      </c>
      <c r="Y120" s="6">
        <f t="shared" si="38"/>
        <v>0</v>
      </c>
      <c r="Z120" s="21">
        <f>(Z110+Z112+Z113)*$G$120</f>
        <v>4.4914762500000007</v>
      </c>
      <c r="AA120" s="6">
        <f>Z120*Z71</f>
        <v>134.74428750000001</v>
      </c>
      <c r="AB120" s="6">
        <f t="shared" si="39"/>
        <v>3772.8400500000002</v>
      </c>
      <c r="AC120" s="6">
        <f t="shared" si="10"/>
        <v>842.11123196562505</v>
      </c>
      <c r="AD120" s="6">
        <f t="shared" si="11"/>
        <v>23579.114495037498</v>
      </c>
      <c r="AF120" s="58"/>
    </row>
    <row r="121" spans="2:32" ht="24" customHeight="1" x14ac:dyDescent="0.3">
      <c r="B121" s="146"/>
      <c r="C121" s="126"/>
      <c r="D121" s="3" t="s">
        <v>76</v>
      </c>
      <c r="E121" s="1" t="s">
        <v>28</v>
      </c>
      <c r="F121" s="15" t="s">
        <v>290</v>
      </c>
      <c r="G121" s="95">
        <v>2.8997999999999999E-2</v>
      </c>
      <c r="H121" s="21">
        <f>(H110+H112+H113)*$G$121</f>
        <v>3.0576792086527504</v>
      </c>
      <c r="I121" s="6">
        <f>H121*H71</f>
        <v>165.11467726724851</v>
      </c>
      <c r="J121" s="6">
        <f t="shared" si="0"/>
        <v>4623.2109634829585</v>
      </c>
      <c r="K121" s="21">
        <f>(K110+K112+K113)*$G$121</f>
        <v>4.0786265510100002</v>
      </c>
      <c r="L121" s="6">
        <f>K121*K71</f>
        <v>550.61458438634997</v>
      </c>
      <c r="M121" s="6">
        <f t="shared" si="34"/>
        <v>15417.208362817799</v>
      </c>
      <c r="N121" s="21">
        <f>(N110+N112+N113)*$G$121</f>
        <v>3.0576792086527504</v>
      </c>
      <c r="O121" s="6">
        <f>N121*N71</f>
        <v>21.403754460569253</v>
      </c>
      <c r="P121" s="6">
        <f t="shared" si="35"/>
        <v>599.30512489593912</v>
      </c>
      <c r="Q121" s="21">
        <f>(Q110+Q112+Q113)*$G$121</f>
        <v>4.2866411985828012</v>
      </c>
      <c r="R121" s="6">
        <f>Q121*Q71</f>
        <v>0</v>
      </c>
      <c r="S121" s="6">
        <f t="shared" si="36"/>
        <v>0</v>
      </c>
      <c r="T121" s="21">
        <f>(T110+T112+T113)*$G$121</f>
        <v>10.419506263800001</v>
      </c>
      <c r="U121" s="6">
        <f>T121*T71</f>
        <v>83.356050110400005</v>
      </c>
      <c r="V121" s="6">
        <f t="shared" si="37"/>
        <v>2333.9694030912001</v>
      </c>
      <c r="W121" s="21">
        <f>(W110+W112+W113)*$G$121</f>
        <v>11.804080294349999</v>
      </c>
      <c r="X121" s="6">
        <f>W121*W71</f>
        <v>0</v>
      </c>
      <c r="Y121" s="6">
        <f t="shared" si="38"/>
        <v>0</v>
      </c>
      <c r="Z121" s="21">
        <f>(Z110+Z112+Z113)*$G$121</f>
        <v>5.2097531319000003</v>
      </c>
      <c r="AA121" s="6">
        <f>Z121*Z71</f>
        <v>156.29259395700001</v>
      </c>
      <c r="AB121" s="6">
        <f t="shared" si="39"/>
        <v>4376.1926307960002</v>
      </c>
      <c r="AC121" s="6">
        <f t="shared" si="10"/>
        <v>976.78166018156787</v>
      </c>
      <c r="AD121" s="6">
        <f t="shared" si="11"/>
        <v>27349.886485083895</v>
      </c>
      <c r="AF121" s="58"/>
    </row>
    <row r="122" spans="2:32" ht="25.95" customHeight="1" x14ac:dyDescent="0.3">
      <c r="B122" s="146"/>
      <c r="C122" s="126"/>
      <c r="D122" s="65" t="s">
        <v>77</v>
      </c>
      <c r="E122" s="2" t="s">
        <v>30</v>
      </c>
      <c r="F122" s="117" t="s">
        <v>135</v>
      </c>
      <c r="G122" s="119"/>
      <c r="H122" s="12">
        <f>SUM(H110:H121)</f>
        <v>164.43312047229557</v>
      </c>
      <c r="I122" s="20">
        <f>H122*H71</f>
        <v>8879.3885055039609</v>
      </c>
      <c r="J122" s="12">
        <f>I122*28</f>
        <v>248622.87815411092</v>
      </c>
      <c r="K122" s="12">
        <f>SUM(K110:K121)</f>
        <v>203.72697462231949</v>
      </c>
      <c r="L122" s="20">
        <f>K122*K71</f>
        <v>27503.141574013131</v>
      </c>
      <c r="M122" s="12">
        <f>L122*28</f>
        <v>770087.96407236764</v>
      </c>
      <c r="N122" s="12">
        <f>SUM(N110:N121)</f>
        <v>164.43312047229557</v>
      </c>
      <c r="O122" s="20">
        <f>N122*N71</f>
        <v>1151.031843306069</v>
      </c>
      <c r="P122" s="12">
        <f>O122*28</f>
        <v>32228.891612569932</v>
      </c>
      <c r="Q122" s="12">
        <f>SUM(Q110:Q121)</f>
        <v>211.73296756993042</v>
      </c>
      <c r="R122" s="20">
        <f>Q122*Q71</f>
        <v>0</v>
      </c>
      <c r="S122" s="12">
        <f>R122*28</f>
        <v>0</v>
      </c>
      <c r="T122" s="12">
        <f>SUM(T110:T121)</f>
        <v>468.01101309435552</v>
      </c>
      <c r="U122" s="20">
        <f>T122*T71</f>
        <v>3744.0881047548442</v>
      </c>
      <c r="V122" s="12">
        <f>U122*28</f>
        <v>104834.46693313564</v>
      </c>
      <c r="W122" s="12">
        <f>SUM(W110:W121)</f>
        <v>523.73192917490553</v>
      </c>
      <c r="X122" s="20">
        <f>W122*W71</f>
        <v>0</v>
      </c>
      <c r="Y122" s="12">
        <f>X122*28</f>
        <v>0</v>
      </c>
      <c r="Z122" s="12">
        <f>SUM(Z110:Z121)</f>
        <v>265.06797940769366</v>
      </c>
      <c r="AA122" s="20">
        <f>Z122*Z71</f>
        <v>7952.0393822308097</v>
      </c>
      <c r="AB122" s="12">
        <f>AA122*28</f>
        <v>222657.10270246267</v>
      </c>
      <c r="AC122" s="24">
        <f t="shared" si="10"/>
        <v>49229.689409808816</v>
      </c>
      <c r="AD122" s="24">
        <f t="shared" si="11"/>
        <v>1378431.3034746468</v>
      </c>
      <c r="AF122" s="58"/>
    </row>
    <row r="123" spans="2:32" ht="18" customHeight="1" x14ac:dyDescent="0.3">
      <c r="B123" s="146"/>
      <c r="C123" s="126" t="s">
        <v>126</v>
      </c>
      <c r="D123" s="5" t="s">
        <v>78</v>
      </c>
      <c r="E123" s="1" t="s">
        <v>79</v>
      </c>
      <c r="F123" s="131" t="s">
        <v>165</v>
      </c>
      <c r="G123" s="132"/>
      <c r="H123" s="6">
        <f>((I71/30*33)*21.36%)/28</f>
        <v>10.933611857142855</v>
      </c>
      <c r="I123" s="6">
        <f>H123*H71</f>
        <v>590.41504028571421</v>
      </c>
      <c r="J123" s="6">
        <f t="shared" si="0"/>
        <v>16531.621127999999</v>
      </c>
      <c r="K123" s="6">
        <f>((L71/30*33)*21.36%)/28</f>
        <v>14.584302857142855</v>
      </c>
      <c r="L123" s="6">
        <f>K123*K71</f>
        <v>1968.8808857142856</v>
      </c>
      <c r="M123" s="6">
        <f t="shared" ref="M123:M134" si="40">L123*28</f>
        <v>55128.664799999999</v>
      </c>
      <c r="N123" s="6">
        <f>((O71/30*33)*21.36%)/28</f>
        <v>10.933611857142855</v>
      </c>
      <c r="O123" s="6">
        <f>N123*N71</f>
        <v>76.535282999999993</v>
      </c>
      <c r="P123" s="6">
        <f t="shared" ref="P123:P134" si="41">O123*28</f>
        <v>2142.987924</v>
      </c>
      <c r="Q123" s="6">
        <f>((R71/30*33)*21.36%)/28</f>
        <v>15.328119085714286</v>
      </c>
      <c r="R123" s="6">
        <f>Q123*Q71</f>
        <v>0</v>
      </c>
      <c r="S123" s="6">
        <f t="shared" ref="S123:S134" si="42">R123*28</f>
        <v>0</v>
      </c>
      <c r="T123" s="6">
        <f>((U71/30*33)*21.36%)/28</f>
        <v>37.257942857142851</v>
      </c>
      <c r="U123" s="6">
        <f>T123*T71</f>
        <v>298.06354285714281</v>
      </c>
      <c r="V123" s="6">
        <f t="shared" ref="V123:V134" si="43">U123*28</f>
        <v>8345.779199999999</v>
      </c>
      <c r="W123" s="6">
        <f>((X71/30*33)*21.36%)/28</f>
        <v>42.208885714285714</v>
      </c>
      <c r="X123" s="6">
        <f>W123*W71</f>
        <v>0</v>
      </c>
      <c r="Y123" s="6">
        <f t="shared" ref="Y123:Y134" si="44">X123*28</f>
        <v>0</v>
      </c>
      <c r="Z123" s="6">
        <f>((AA71/30*33)*21.36%)/28</f>
        <v>18.628971428571425</v>
      </c>
      <c r="AA123" s="6">
        <f>Z123*Z71</f>
        <v>558.86914285714272</v>
      </c>
      <c r="AB123" s="6">
        <f t="shared" ref="AB123:AB134" si="45">AA123*28</f>
        <v>15648.335999999996</v>
      </c>
      <c r="AC123" s="6">
        <f t="shared" si="10"/>
        <v>3492.7638947142855</v>
      </c>
      <c r="AD123" s="6">
        <f t="shared" si="11"/>
        <v>97797.389051999999</v>
      </c>
      <c r="AF123" s="58"/>
    </row>
    <row r="124" spans="2:32" ht="18" customHeight="1" x14ac:dyDescent="0.3">
      <c r="B124" s="146"/>
      <c r="C124" s="126"/>
      <c r="D124" s="5" t="s">
        <v>80</v>
      </c>
      <c r="E124" s="1" t="s">
        <v>81</v>
      </c>
      <c r="F124" s="131" t="s">
        <v>166</v>
      </c>
      <c r="G124" s="132"/>
      <c r="H124" s="6">
        <f>(I71+I71/3)/12/28</f>
        <v>5.1704365079365076</v>
      </c>
      <c r="I124" s="6">
        <f>H124*H71</f>
        <v>279.20357142857142</v>
      </c>
      <c r="J124" s="6">
        <f t="shared" si="0"/>
        <v>7817.7</v>
      </c>
      <c r="K124" s="6">
        <f>(L71+L71/3)/12/28</f>
        <v>6.8968253968253972</v>
      </c>
      <c r="L124" s="6">
        <f>K124*K71</f>
        <v>931.07142857142867</v>
      </c>
      <c r="M124" s="6">
        <f t="shared" si="40"/>
        <v>26070.000000000004</v>
      </c>
      <c r="N124" s="6">
        <f>(O71+O71/3)/12/28</f>
        <v>5.1704365079365076</v>
      </c>
      <c r="O124" s="6">
        <f>N124*N71</f>
        <v>36.193055555555553</v>
      </c>
      <c r="P124" s="6">
        <f t="shared" si="41"/>
        <v>1013.4055555555555</v>
      </c>
      <c r="Q124" s="6">
        <f>(R71+R71/3)/12/28</f>
        <v>7.2485714285714291</v>
      </c>
      <c r="R124" s="6">
        <f>Q124*Q71</f>
        <v>0</v>
      </c>
      <c r="S124" s="6">
        <f t="shared" si="42"/>
        <v>0</v>
      </c>
      <c r="T124" s="6">
        <f>(U71+U71/3)/12/28</f>
        <v>17.619047619047617</v>
      </c>
      <c r="U124" s="6">
        <f>T124*T71</f>
        <v>140.95238095238093</v>
      </c>
      <c r="V124" s="6">
        <f t="shared" si="43"/>
        <v>3946.6666666666661</v>
      </c>
      <c r="W124" s="6">
        <f>(X71+X71/3)/12/28</f>
        <v>19.960317460317462</v>
      </c>
      <c r="X124" s="6">
        <f>W124*W71</f>
        <v>0</v>
      </c>
      <c r="Y124" s="6">
        <f t="shared" si="44"/>
        <v>0</v>
      </c>
      <c r="Z124" s="6">
        <f>(AA71+AA71/3)/12/28</f>
        <v>8.8095238095238084</v>
      </c>
      <c r="AA124" s="6">
        <f>Z124*Z71</f>
        <v>264.28571428571428</v>
      </c>
      <c r="AB124" s="6">
        <f t="shared" si="45"/>
        <v>7400</v>
      </c>
      <c r="AC124" s="6">
        <f t="shared" si="10"/>
        <v>1651.7061507936507</v>
      </c>
      <c r="AD124" s="6">
        <f t="shared" si="11"/>
        <v>46247.772222222222</v>
      </c>
      <c r="AF124" s="58"/>
    </row>
    <row r="125" spans="2:32" ht="18" customHeight="1" x14ac:dyDescent="0.3">
      <c r="B125" s="146"/>
      <c r="C125" s="126"/>
      <c r="D125" s="5" t="s">
        <v>82</v>
      </c>
      <c r="E125" s="1" t="s">
        <v>83</v>
      </c>
      <c r="F125" s="131" t="s">
        <v>144</v>
      </c>
      <c r="G125" s="132"/>
      <c r="H125" s="6">
        <f>I71/12/28</f>
        <v>3.8778273809523811</v>
      </c>
      <c r="I125" s="22">
        <f>H125*H71</f>
        <v>209.40267857142857</v>
      </c>
      <c r="J125" s="6">
        <f t="shared" si="0"/>
        <v>5863.2749999999996</v>
      </c>
      <c r="K125" s="6">
        <f>L71/12/28</f>
        <v>5.1726190476190483</v>
      </c>
      <c r="L125" s="22">
        <f>K125*K71</f>
        <v>698.30357142857156</v>
      </c>
      <c r="M125" s="6">
        <f t="shared" si="40"/>
        <v>19552.500000000004</v>
      </c>
      <c r="N125" s="6">
        <f>O71/12/28</f>
        <v>3.8778273809523811</v>
      </c>
      <c r="O125" s="22">
        <f>N125*N71</f>
        <v>27.144791666666666</v>
      </c>
      <c r="P125" s="6">
        <f t="shared" si="41"/>
        <v>760.05416666666667</v>
      </c>
      <c r="Q125" s="6">
        <f>R71/12/28</f>
        <v>5.4364285714285714</v>
      </c>
      <c r="R125" s="22">
        <f>Q125*Q71</f>
        <v>0</v>
      </c>
      <c r="S125" s="6">
        <f t="shared" si="42"/>
        <v>0</v>
      </c>
      <c r="T125" s="6">
        <f>U71/12/28</f>
        <v>13.214285714285714</v>
      </c>
      <c r="U125" s="22">
        <f>T125*T71</f>
        <v>105.71428571428571</v>
      </c>
      <c r="V125" s="6">
        <f t="shared" si="43"/>
        <v>2960</v>
      </c>
      <c r="W125" s="6">
        <f>X71/12/28</f>
        <v>14.970238095238097</v>
      </c>
      <c r="X125" s="22">
        <f>W125*W71</f>
        <v>0</v>
      </c>
      <c r="Y125" s="6">
        <f t="shared" si="44"/>
        <v>0</v>
      </c>
      <c r="Z125" s="6">
        <f>AA71/12/28</f>
        <v>6.6071428571428568</v>
      </c>
      <c r="AA125" s="22">
        <f>Z125*Z71</f>
        <v>198.21428571428569</v>
      </c>
      <c r="AB125" s="6">
        <f t="shared" si="45"/>
        <v>5549.9999999999991</v>
      </c>
      <c r="AC125" s="6">
        <f t="shared" si="10"/>
        <v>1238.7796130952383</v>
      </c>
      <c r="AD125" s="6">
        <f t="shared" si="11"/>
        <v>34685.829166666663</v>
      </c>
      <c r="AF125" s="58"/>
    </row>
    <row r="126" spans="2:32" ht="18" customHeight="1" x14ac:dyDescent="0.3">
      <c r="B126" s="146"/>
      <c r="C126" s="126"/>
      <c r="D126" s="5" t="s">
        <v>84</v>
      </c>
      <c r="E126" s="1" t="s">
        <v>16</v>
      </c>
      <c r="F126" s="15" t="s">
        <v>167</v>
      </c>
      <c r="G126" s="10">
        <v>0.08</v>
      </c>
      <c r="H126" s="6">
        <f>(H123+H125)*$G$126</f>
        <v>1.1849151390476189</v>
      </c>
      <c r="I126" s="6">
        <f>H126*H71</f>
        <v>63.985417508571423</v>
      </c>
      <c r="J126" s="6">
        <f t="shared" si="0"/>
        <v>1791.5916902399999</v>
      </c>
      <c r="K126" s="6">
        <f>(K123+K125)*$G$126</f>
        <v>1.5805537523809523</v>
      </c>
      <c r="L126" s="6">
        <f>K126*K71</f>
        <v>213.37475657142855</v>
      </c>
      <c r="M126" s="6">
        <f t="shared" si="40"/>
        <v>5974.493183999999</v>
      </c>
      <c r="N126" s="6">
        <f>(N123+N125)*$G$126</f>
        <v>1.1849151390476189</v>
      </c>
      <c r="O126" s="6">
        <f>N126*N71</f>
        <v>8.2944059733333333</v>
      </c>
      <c r="P126" s="6">
        <f t="shared" si="41"/>
        <v>232.24336725333333</v>
      </c>
      <c r="Q126" s="6">
        <f>(Q123+Q125)*$G$126</f>
        <v>1.6611638125714285</v>
      </c>
      <c r="R126" s="6">
        <f>Q126*Q71</f>
        <v>0</v>
      </c>
      <c r="S126" s="6">
        <f t="shared" si="42"/>
        <v>0</v>
      </c>
      <c r="T126" s="6">
        <f>(T123+T125)*$G$126</f>
        <v>4.0377782857142854</v>
      </c>
      <c r="U126" s="6">
        <f>T126*T71</f>
        <v>32.302226285714283</v>
      </c>
      <c r="V126" s="6">
        <f t="shared" si="43"/>
        <v>904.46233599999994</v>
      </c>
      <c r="W126" s="6">
        <f>(W123+W125)*$G$126</f>
        <v>4.574329904761905</v>
      </c>
      <c r="X126" s="6">
        <f>W126*W71</f>
        <v>0</v>
      </c>
      <c r="Y126" s="6">
        <f t="shared" si="44"/>
        <v>0</v>
      </c>
      <c r="Z126" s="6">
        <f>(Z123+Z125)*$G$126</f>
        <v>2.0188891428571427</v>
      </c>
      <c r="AA126" s="6">
        <f>Z126*Z71</f>
        <v>60.566674285714285</v>
      </c>
      <c r="AB126" s="6">
        <f t="shared" si="45"/>
        <v>1695.86688</v>
      </c>
      <c r="AC126" s="6">
        <f t="shared" si="10"/>
        <v>378.52348062476187</v>
      </c>
      <c r="AD126" s="6">
        <f t="shared" si="11"/>
        <v>10598.657457493333</v>
      </c>
      <c r="AF126" s="58"/>
    </row>
    <row r="127" spans="2:32" ht="18" customHeight="1" x14ac:dyDescent="0.3">
      <c r="B127" s="146"/>
      <c r="C127" s="126"/>
      <c r="D127" s="5" t="s">
        <v>85</v>
      </c>
      <c r="E127" s="1" t="s">
        <v>18</v>
      </c>
      <c r="F127" s="15" t="s">
        <v>168</v>
      </c>
      <c r="G127" s="10">
        <v>0</v>
      </c>
      <c r="H127" s="6">
        <f>(H123+H125)*$G$127</f>
        <v>0</v>
      </c>
      <c r="I127" s="6">
        <f>H127*H71</f>
        <v>0</v>
      </c>
      <c r="J127" s="6">
        <f t="shared" si="0"/>
        <v>0</v>
      </c>
      <c r="K127" s="6">
        <f>(K123+K125)*$G$127</f>
        <v>0</v>
      </c>
      <c r="L127" s="6">
        <f>K127*K71</f>
        <v>0</v>
      </c>
      <c r="M127" s="6">
        <f t="shared" si="40"/>
        <v>0</v>
      </c>
      <c r="N127" s="6">
        <f>(N123+N125)*$G$127</f>
        <v>0</v>
      </c>
      <c r="O127" s="6">
        <f>N127*N71</f>
        <v>0</v>
      </c>
      <c r="P127" s="6">
        <f t="shared" si="41"/>
        <v>0</v>
      </c>
      <c r="Q127" s="6">
        <f>(Q123+Q125)*$G$127</f>
        <v>0</v>
      </c>
      <c r="R127" s="6">
        <f>Q127*Q71</f>
        <v>0</v>
      </c>
      <c r="S127" s="6">
        <f t="shared" si="42"/>
        <v>0</v>
      </c>
      <c r="T127" s="6">
        <f>(T123+T125)*$G$127</f>
        <v>0</v>
      </c>
      <c r="U127" s="6">
        <f>T127*T71</f>
        <v>0</v>
      </c>
      <c r="V127" s="6">
        <f t="shared" si="43"/>
        <v>0</v>
      </c>
      <c r="W127" s="6">
        <f>(W123+W125)*$G$127</f>
        <v>0</v>
      </c>
      <c r="X127" s="6">
        <f>W127*W71</f>
        <v>0</v>
      </c>
      <c r="Y127" s="6">
        <f t="shared" si="44"/>
        <v>0</v>
      </c>
      <c r="Z127" s="6">
        <f>(Z123+Z125)*$G$127</f>
        <v>0</v>
      </c>
      <c r="AA127" s="6">
        <f>Z127*Z71</f>
        <v>0</v>
      </c>
      <c r="AB127" s="6">
        <f t="shared" si="45"/>
        <v>0</v>
      </c>
      <c r="AC127" s="6">
        <f t="shared" si="10"/>
        <v>0</v>
      </c>
      <c r="AD127" s="6">
        <f t="shared" si="11"/>
        <v>0</v>
      </c>
      <c r="AF127" s="58"/>
    </row>
    <row r="128" spans="2:32" ht="18" customHeight="1" x14ac:dyDescent="0.3">
      <c r="B128" s="146"/>
      <c r="C128" s="126"/>
      <c r="D128" s="5" t="s">
        <v>86</v>
      </c>
      <c r="E128" s="1" t="s">
        <v>20</v>
      </c>
      <c r="F128" s="15" t="s">
        <v>173</v>
      </c>
      <c r="G128" s="10">
        <v>2E-3</v>
      </c>
      <c r="H128" s="6">
        <f>(H123+H125)*$G$128</f>
        <v>2.9622878476190474E-2</v>
      </c>
      <c r="I128" s="6">
        <f>H128*H71</f>
        <v>1.5996354377142856</v>
      </c>
      <c r="J128" s="6">
        <f t="shared" si="0"/>
        <v>44.789792255999998</v>
      </c>
      <c r="K128" s="6">
        <f>(K123+K125)*$G$128</f>
        <v>3.9513843809523809E-2</v>
      </c>
      <c r="L128" s="6">
        <f>K128*K71</f>
        <v>5.3343689142857142</v>
      </c>
      <c r="M128" s="6">
        <f t="shared" si="40"/>
        <v>149.36232960000001</v>
      </c>
      <c r="N128" s="6">
        <f>(N123+N125)*$G$128</f>
        <v>2.9622878476190474E-2</v>
      </c>
      <c r="O128" s="6">
        <f>N128*N71</f>
        <v>0.20736014933333333</v>
      </c>
      <c r="P128" s="6">
        <f t="shared" si="41"/>
        <v>5.8060841813333335</v>
      </c>
      <c r="Q128" s="6">
        <f>(Q123+Q125)*$G$128</f>
        <v>4.1529095314285711E-2</v>
      </c>
      <c r="R128" s="6">
        <f>Q128*Q71</f>
        <v>0</v>
      </c>
      <c r="S128" s="6">
        <f t="shared" si="42"/>
        <v>0</v>
      </c>
      <c r="T128" s="6">
        <f>(T123+T125)*$G$128</f>
        <v>0.10094445714285713</v>
      </c>
      <c r="U128" s="6">
        <f>T128*T71</f>
        <v>0.80755565714285704</v>
      </c>
      <c r="V128" s="6">
        <f t="shared" si="43"/>
        <v>22.611558399999996</v>
      </c>
      <c r="W128" s="6">
        <f>(W123+W125)*$G$128</f>
        <v>0.11435824761904761</v>
      </c>
      <c r="X128" s="6">
        <f>W128*W71</f>
        <v>0</v>
      </c>
      <c r="Y128" s="6">
        <f t="shared" si="44"/>
        <v>0</v>
      </c>
      <c r="Z128" s="6">
        <f>(Z123+Z125)*$G$128</f>
        <v>5.0472228571428565E-2</v>
      </c>
      <c r="AA128" s="6">
        <f>Z128*Z71</f>
        <v>1.514166857142857</v>
      </c>
      <c r="AB128" s="6">
        <f t="shared" si="45"/>
        <v>42.396671999999995</v>
      </c>
      <c r="AC128" s="6">
        <f t="shared" si="10"/>
        <v>9.4630870156190472</v>
      </c>
      <c r="AD128" s="6">
        <f t="shared" si="11"/>
        <v>264.96643643733336</v>
      </c>
      <c r="AF128" s="58"/>
    </row>
    <row r="129" spans="2:32" ht="18" customHeight="1" x14ac:dyDescent="0.3">
      <c r="B129" s="146"/>
      <c r="C129" s="126"/>
      <c r="D129" s="5" t="s">
        <v>87</v>
      </c>
      <c r="E129" s="1" t="s">
        <v>210</v>
      </c>
      <c r="F129" s="15" t="s">
        <v>169</v>
      </c>
      <c r="G129" s="10">
        <v>0.01</v>
      </c>
      <c r="H129" s="6">
        <f>(H123+H125)*$G$129</f>
        <v>0.14811439238095236</v>
      </c>
      <c r="I129" s="6">
        <f>H129*H71</f>
        <v>7.9981771885714279</v>
      </c>
      <c r="J129" s="6">
        <f t="shared" si="0"/>
        <v>223.94896127999999</v>
      </c>
      <c r="K129" s="6">
        <f>(K123+K125)*$G$129</f>
        <v>0.19756921904761904</v>
      </c>
      <c r="L129" s="6">
        <f>K129*K71</f>
        <v>26.671844571428569</v>
      </c>
      <c r="M129" s="6">
        <f t="shared" si="40"/>
        <v>746.81164799999988</v>
      </c>
      <c r="N129" s="6">
        <f>(N123+N125)*$G$129</f>
        <v>0.14811439238095236</v>
      </c>
      <c r="O129" s="6">
        <f>N129*N71</f>
        <v>1.0368007466666667</v>
      </c>
      <c r="P129" s="6">
        <f t="shared" si="41"/>
        <v>29.030420906666667</v>
      </c>
      <c r="Q129" s="6">
        <f>(Q123+Q125)*$G$129</f>
        <v>0.20764547657142857</v>
      </c>
      <c r="R129" s="6">
        <f>Q129*Q71</f>
        <v>0</v>
      </c>
      <c r="S129" s="6">
        <f t="shared" si="42"/>
        <v>0</v>
      </c>
      <c r="T129" s="6">
        <f>(T123+T125)*$G$129</f>
        <v>0.50472228571428568</v>
      </c>
      <c r="U129" s="6">
        <f>T129*T71</f>
        <v>4.0377782857142854</v>
      </c>
      <c r="V129" s="6">
        <f t="shared" si="43"/>
        <v>113.05779199999999</v>
      </c>
      <c r="W129" s="6">
        <f>(W123+W125)*$G$129</f>
        <v>0.57179123809523813</v>
      </c>
      <c r="X129" s="6">
        <f>W129*W71</f>
        <v>0</v>
      </c>
      <c r="Y129" s="6">
        <f t="shared" si="44"/>
        <v>0</v>
      </c>
      <c r="Z129" s="6">
        <f>(Z123+Z125)*$G$129</f>
        <v>0.25236114285714284</v>
      </c>
      <c r="AA129" s="6">
        <f>Z129*Z71</f>
        <v>7.5708342857142856</v>
      </c>
      <c r="AB129" s="6">
        <f t="shared" si="45"/>
        <v>211.98336</v>
      </c>
      <c r="AC129" s="6">
        <f t="shared" si="10"/>
        <v>47.315435078095234</v>
      </c>
      <c r="AD129" s="6">
        <f t="shared" si="11"/>
        <v>1324.8321821866666</v>
      </c>
      <c r="AF129" s="58"/>
    </row>
    <row r="130" spans="2:32" ht="18" customHeight="1" x14ac:dyDescent="0.3">
      <c r="B130" s="146"/>
      <c r="C130" s="126"/>
      <c r="D130" s="5" t="s">
        <v>88</v>
      </c>
      <c r="E130" s="1" t="s">
        <v>211</v>
      </c>
      <c r="F130" s="15" t="s">
        <v>170</v>
      </c>
      <c r="G130" s="10">
        <v>1.4999999999999999E-2</v>
      </c>
      <c r="H130" s="6">
        <f>(H123+H125)*$G$130</f>
        <v>0.22217158857142852</v>
      </c>
      <c r="I130" s="6">
        <f>H130*H71</f>
        <v>11.99726578285714</v>
      </c>
      <c r="J130" s="6">
        <f t="shared" si="0"/>
        <v>335.9234419199999</v>
      </c>
      <c r="K130" s="6">
        <f>(K123+K125)*$G$130</f>
        <v>0.29635382857142856</v>
      </c>
      <c r="L130" s="6">
        <f>K130*K71</f>
        <v>40.007766857142855</v>
      </c>
      <c r="M130" s="6">
        <f t="shared" si="40"/>
        <v>1120.2174719999998</v>
      </c>
      <c r="N130" s="6">
        <f>(N123+N125)*$G$130</f>
        <v>0.22217158857142852</v>
      </c>
      <c r="O130" s="6">
        <f>N130*N71</f>
        <v>1.5552011199999995</v>
      </c>
      <c r="P130" s="6">
        <f t="shared" si="41"/>
        <v>43.545631359999987</v>
      </c>
      <c r="Q130" s="6">
        <f>(Q123+Q125)*$G$130</f>
        <v>0.31146821485714282</v>
      </c>
      <c r="R130" s="6">
        <f>Q130*Q71</f>
        <v>0</v>
      </c>
      <c r="S130" s="6">
        <f t="shared" si="42"/>
        <v>0</v>
      </c>
      <c r="T130" s="6">
        <f>(T123+T125)*$G$130</f>
        <v>0.75708342857142852</v>
      </c>
      <c r="U130" s="6">
        <f>T130*T71</f>
        <v>6.0566674285714281</v>
      </c>
      <c r="V130" s="6">
        <f t="shared" si="43"/>
        <v>169.58668799999998</v>
      </c>
      <c r="W130" s="6">
        <f>(W123+W125)*$G$130</f>
        <v>0.85768685714285708</v>
      </c>
      <c r="X130" s="6">
        <f>W130*W71</f>
        <v>0</v>
      </c>
      <c r="Y130" s="6">
        <f t="shared" si="44"/>
        <v>0</v>
      </c>
      <c r="Z130" s="6">
        <f>(Z123+Z125)*$G$130</f>
        <v>0.37854171428571426</v>
      </c>
      <c r="AA130" s="6">
        <f>Z130*Z71</f>
        <v>11.356251428571428</v>
      </c>
      <c r="AB130" s="6">
        <f t="shared" si="45"/>
        <v>317.97503999999998</v>
      </c>
      <c r="AC130" s="6">
        <f t="shared" si="10"/>
        <v>70.973152617142858</v>
      </c>
      <c r="AD130" s="6">
        <f t="shared" si="11"/>
        <v>1987.2482732799997</v>
      </c>
      <c r="AF130" s="58"/>
    </row>
    <row r="131" spans="2:32" ht="18" customHeight="1" x14ac:dyDescent="0.3">
      <c r="B131" s="146"/>
      <c r="C131" s="126"/>
      <c r="D131" s="5" t="s">
        <v>89</v>
      </c>
      <c r="E131" s="1" t="s">
        <v>24</v>
      </c>
      <c r="F131" s="15" t="s">
        <v>171</v>
      </c>
      <c r="G131" s="10">
        <v>6.0000000000000001E-3</v>
      </c>
      <c r="H131" s="6">
        <f>(H123+H125)*$G$131</f>
        <v>8.8868635428571416E-2</v>
      </c>
      <c r="I131" s="6">
        <f>H131*H71</f>
        <v>4.7989063131428562</v>
      </c>
      <c r="J131" s="6">
        <f t="shared" si="0"/>
        <v>134.36937676799997</v>
      </c>
      <c r="K131" s="6">
        <f>(K123+K125)*$G$131</f>
        <v>0.11854153142857142</v>
      </c>
      <c r="L131" s="6">
        <f>K131*K71</f>
        <v>16.003106742857142</v>
      </c>
      <c r="M131" s="6">
        <f t="shared" si="40"/>
        <v>448.08698879999997</v>
      </c>
      <c r="N131" s="6">
        <f>(N123+N125)*$G$131</f>
        <v>8.8868635428571416E-2</v>
      </c>
      <c r="O131" s="6">
        <f>N131*N71</f>
        <v>0.62208044799999995</v>
      </c>
      <c r="P131" s="6">
        <f t="shared" si="41"/>
        <v>17.418252543999998</v>
      </c>
      <c r="Q131" s="6">
        <f>(Q123+Q125)*$G$131</f>
        <v>0.12458728594285713</v>
      </c>
      <c r="R131" s="6">
        <f>Q131*Q71</f>
        <v>0</v>
      </c>
      <c r="S131" s="6">
        <f t="shared" si="42"/>
        <v>0</v>
      </c>
      <c r="T131" s="6">
        <f>(T123+T125)*$G$131</f>
        <v>0.30283337142857142</v>
      </c>
      <c r="U131" s="6">
        <f>T131*T71</f>
        <v>2.4226669714285713</v>
      </c>
      <c r="V131" s="6">
        <f t="shared" si="43"/>
        <v>67.834675199999992</v>
      </c>
      <c r="W131" s="6">
        <f>(W123+W125)*$G$131</f>
        <v>0.34307474285714284</v>
      </c>
      <c r="X131" s="6">
        <f>W131*W71</f>
        <v>0</v>
      </c>
      <c r="Y131" s="6">
        <f t="shared" si="44"/>
        <v>0</v>
      </c>
      <c r="Z131" s="6">
        <f>(Z123+Z125)*$G$131</f>
        <v>0.15141668571428571</v>
      </c>
      <c r="AA131" s="6">
        <f>Z131*Z71</f>
        <v>4.5425005714285716</v>
      </c>
      <c r="AB131" s="6">
        <f t="shared" si="45"/>
        <v>127.190016</v>
      </c>
      <c r="AC131" s="6">
        <f t="shared" si="10"/>
        <v>28.389261046857143</v>
      </c>
      <c r="AD131" s="6">
        <f t="shared" si="11"/>
        <v>794.8993093119999</v>
      </c>
      <c r="AF131" s="58"/>
    </row>
    <row r="132" spans="2:32" ht="18" customHeight="1" x14ac:dyDescent="0.3">
      <c r="B132" s="146"/>
      <c r="C132" s="126"/>
      <c r="D132" s="5" t="s">
        <v>90</v>
      </c>
      <c r="E132" s="1" t="s">
        <v>26</v>
      </c>
      <c r="F132" s="15" t="s">
        <v>172</v>
      </c>
      <c r="G132" s="10">
        <v>2.5000000000000001E-2</v>
      </c>
      <c r="H132" s="6">
        <f>(H123+H125)*$G$132</f>
        <v>0.37028598095238091</v>
      </c>
      <c r="I132" s="6">
        <f>H132*H71</f>
        <v>19.99544297142857</v>
      </c>
      <c r="J132" s="6">
        <f t="shared" si="0"/>
        <v>559.87240320000001</v>
      </c>
      <c r="K132" s="6">
        <f>(K123+K125)*$G$132</f>
        <v>0.49392304761904759</v>
      </c>
      <c r="L132" s="6">
        <f>K132*K71</f>
        <v>66.67961142857142</v>
      </c>
      <c r="M132" s="6">
        <f t="shared" si="40"/>
        <v>1867.0291199999997</v>
      </c>
      <c r="N132" s="6">
        <f>(N123+N125)*$G$132</f>
        <v>0.37028598095238091</v>
      </c>
      <c r="O132" s="6">
        <f>N132*N71</f>
        <v>2.5920018666666662</v>
      </c>
      <c r="P132" s="6">
        <f t="shared" si="41"/>
        <v>72.57605226666665</v>
      </c>
      <c r="Q132" s="6">
        <f>(Q123+Q125)*$G$132</f>
        <v>0.51911369142857144</v>
      </c>
      <c r="R132" s="6">
        <f>Q132*Q71</f>
        <v>0</v>
      </c>
      <c r="S132" s="6">
        <f t="shared" si="42"/>
        <v>0</v>
      </c>
      <c r="T132" s="6">
        <f>(T123+T125)*$G$132</f>
        <v>1.2618057142857142</v>
      </c>
      <c r="U132" s="6">
        <f>T132*T71</f>
        <v>10.094445714285714</v>
      </c>
      <c r="V132" s="6">
        <f t="shared" si="43"/>
        <v>282.64447999999999</v>
      </c>
      <c r="W132" s="6">
        <f>(W123+W125)*$G$132</f>
        <v>1.4294780952380952</v>
      </c>
      <c r="X132" s="6">
        <f>W132*W71</f>
        <v>0</v>
      </c>
      <c r="Y132" s="6">
        <f t="shared" si="44"/>
        <v>0</v>
      </c>
      <c r="Z132" s="6">
        <f>(Z123+Z125)*$G$132</f>
        <v>0.6309028571428571</v>
      </c>
      <c r="AA132" s="6">
        <f>Z132*Z71</f>
        <v>18.927085714285713</v>
      </c>
      <c r="AB132" s="6">
        <f t="shared" si="45"/>
        <v>529.95839999999998</v>
      </c>
      <c r="AC132" s="6">
        <f t="shared" si="10"/>
        <v>118.28858769523808</v>
      </c>
      <c r="AD132" s="6">
        <f t="shared" si="11"/>
        <v>3312.0804554666661</v>
      </c>
      <c r="AF132" s="58"/>
    </row>
    <row r="133" spans="2:32" ht="18" customHeight="1" x14ac:dyDescent="0.3">
      <c r="B133" s="146"/>
      <c r="C133" s="126"/>
      <c r="D133" s="5" t="s">
        <v>91</v>
      </c>
      <c r="E133" s="1" t="s">
        <v>28</v>
      </c>
      <c r="F133" s="15" t="s">
        <v>291</v>
      </c>
      <c r="G133" s="95">
        <v>2.8997999999999999E-2</v>
      </c>
      <c r="H133" s="6">
        <f>(H123+H125)*$G$133</f>
        <v>0.42950211502628566</v>
      </c>
      <c r="I133" s="6">
        <f>H133*H71</f>
        <v>23.193114211419427</v>
      </c>
      <c r="J133" s="6">
        <f t="shared" si="0"/>
        <v>649.40719791974402</v>
      </c>
      <c r="K133" s="6">
        <f>(K123+K125)*$G$133</f>
        <v>0.57291122139428563</v>
      </c>
      <c r="L133" s="6">
        <f>K133*K71</f>
        <v>77.343014888228566</v>
      </c>
      <c r="M133" s="6">
        <f t="shared" si="40"/>
        <v>2165.6044168703997</v>
      </c>
      <c r="N133" s="6">
        <f>(N123+N125)*$G$133</f>
        <v>0.42950211502628566</v>
      </c>
      <c r="O133" s="6">
        <f>N133*N71</f>
        <v>3.0065148051839996</v>
      </c>
      <c r="P133" s="6">
        <f t="shared" si="41"/>
        <v>84.182414545151985</v>
      </c>
      <c r="Q133" s="6">
        <f>(Q123+Q125)*$G$133</f>
        <v>0.60213035296182849</v>
      </c>
      <c r="R133" s="6">
        <f>Q133*Q71</f>
        <v>0</v>
      </c>
      <c r="S133" s="6">
        <f t="shared" si="42"/>
        <v>0</v>
      </c>
      <c r="T133" s="6">
        <f>(T123+T125)*$G$133</f>
        <v>1.4635936841142856</v>
      </c>
      <c r="U133" s="6">
        <f>T133*T71</f>
        <v>11.708749472914285</v>
      </c>
      <c r="V133" s="6">
        <f t="shared" si="43"/>
        <v>327.84498524159994</v>
      </c>
      <c r="W133" s="6">
        <f>(W123+W125)*$G$133</f>
        <v>1.6580802322285713</v>
      </c>
      <c r="X133" s="6">
        <f>W133*W71</f>
        <v>0</v>
      </c>
      <c r="Y133" s="6">
        <f t="shared" si="44"/>
        <v>0</v>
      </c>
      <c r="Z133" s="6">
        <f>(Z123+Z125)*$G$133</f>
        <v>0.73179684205714279</v>
      </c>
      <c r="AA133" s="6">
        <f>Z133*Z71</f>
        <v>21.953905261714283</v>
      </c>
      <c r="AB133" s="6">
        <f t="shared" si="45"/>
        <v>614.70934732799992</v>
      </c>
      <c r="AC133" s="6">
        <f t="shared" si="10"/>
        <v>137.20529863946055</v>
      </c>
      <c r="AD133" s="6">
        <f t="shared" si="11"/>
        <v>3841.7483619048953</v>
      </c>
      <c r="AF133" s="58"/>
    </row>
    <row r="134" spans="2:32" ht="19.5" customHeight="1" x14ac:dyDescent="0.3">
      <c r="B134" s="146"/>
      <c r="C134" s="126"/>
      <c r="D134" s="5" t="s">
        <v>92</v>
      </c>
      <c r="E134" s="1" t="s">
        <v>93</v>
      </c>
      <c r="F134" s="144" t="s">
        <v>274</v>
      </c>
      <c r="G134" s="145"/>
      <c r="H134" s="6">
        <f>((H75+H91+H101+H114+H126)*40%)*85.43%</f>
        <v>43.288801382666477</v>
      </c>
      <c r="I134" s="6">
        <f>H134*H71</f>
        <v>2337.5952746639896</v>
      </c>
      <c r="J134" s="6">
        <f t="shared" si="0"/>
        <v>65452.667690591712</v>
      </c>
      <c r="K134" s="6">
        <f>((K75+K91+K101+K114+K126)*40%)*85.43%</f>
        <v>57.742765879791499</v>
      </c>
      <c r="L134" s="6">
        <f>K134*K71</f>
        <v>7795.2733937718522</v>
      </c>
      <c r="M134" s="6">
        <f t="shared" si="40"/>
        <v>218267.65502561186</v>
      </c>
      <c r="N134" s="6">
        <f>((N75+N91+N101+N114+N126)*40%)*85.43%</f>
        <v>43.288801382666477</v>
      </c>
      <c r="O134" s="6">
        <f>N134*N71</f>
        <v>303.02160967866536</v>
      </c>
      <c r="P134" s="6">
        <f t="shared" si="41"/>
        <v>8484.6050710026302</v>
      </c>
      <c r="Q134" s="6">
        <f>((Q75+Q91+Q101+Q114+Q126)*40%)*85.43%</f>
        <v>60.687713387032431</v>
      </c>
      <c r="R134" s="6">
        <f>Q134*Q71</f>
        <v>0</v>
      </c>
      <c r="S134" s="6">
        <f t="shared" si="42"/>
        <v>0</v>
      </c>
      <c r="T134" s="6">
        <f>((T75+T91+T101+T114+T126)*40%)*85.43%</f>
        <v>147.51316484825909</v>
      </c>
      <c r="U134" s="6">
        <f>T134*T71</f>
        <v>1180.1053187860728</v>
      </c>
      <c r="V134" s="6">
        <f t="shared" si="43"/>
        <v>33042.948926010038</v>
      </c>
      <c r="W134" s="6">
        <f>((W75+W91+W101+W114+W126)*40%)*85.43%</f>
        <v>167.11513945647366</v>
      </c>
      <c r="X134" s="6">
        <f>W134*W71</f>
        <v>0</v>
      </c>
      <c r="Y134" s="6">
        <f t="shared" si="44"/>
        <v>0</v>
      </c>
      <c r="Z134" s="6">
        <f>((Z75+Z91+Z101+Z114+Z126)*40%)*85.43%</f>
        <v>73.756582424129547</v>
      </c>
      <c r="AA134" s="6">
        <f>Z134*Z71</f>
        <v>2212.6974727238862</v>
      </c>
      <c r="AB134" s="6">
        <f t="shared" si="45"/>
        <v>61955.529236268812</v>
      </c>
      <c r="AC134" s="6">
        <f t="shared" si="10"/>
        <v>13828.693069624467</v>
      </c>
      <c r="AD134" s="6">
        <f t="shared" si="11"/>
        <v>387203.40594948508</v>
      </c>
      <c r="AF134" s="58"/>
    </row>
    <row r="135" spans="2:32" ht="21" customHeight="1" x14ac:dyDescent="0.3">
      <c r="B135" s="146"/>
      <c r="C135" s="126"/>
      <c r="D135" s="65" t="s">
        <v>94</v>
      </c>
      <c r="E135" s="2" t="s">
        <v>30</v>
      </c>
      <c r="F135" s="117" t="s">
        <v>175</v>
      </c>
      <c r="G135" s="119"/>
      <c r="H135" s="12">
        <f>SUM(H123:H134)</f>
        <v>65.744157858581644</v>
      </c>
      <c r="I135" s="20">
        <f>H135*H71</f>
        <v>3550.1845243634089</v>
      </c>
      <c r="J135" s="12">
        <f>I135*28</f>
        <v>99405.166682175448</v>
      </c>
      <c r="K135" s="12">
        <f>SUM(K123:K134)</f>
        <v>87.695879625630226</v>
      </c>
      <c r="L135" s="20">
        <f>K135*K71</f>
        <v>11838.943749460081</v>
      </c>
      <c r="M135" s="12">
        <f>L135*28</f>
        <v>331490.42498488224</v>
      </c>
      <c r="N135" s="12">
        <f>SUM(N123:N134)</f>
        <v>65.744157858581644</v>
      </c>
      <c r="O135" s="20">
        <f>N135*N71</f>
        <v>460.20910501007154</v>
      </c>
      <c r="P135" s="12">
        <f>O135*28</f>
        <v>12885.854940282003</v>
      </c>
      <c r="Q135" s="12">
        <f>SUM(Q123:Q134)</f>
        <v>92.168470402394263</v>
      </c>
      <c r="R135" s="20">
        <f>Q135*Q71</f>
        <v>0</v>
      </c>
      <c r="S135" s="12">
        <f>R135*28</f>
        <v>0</v>
      </c>
      <c r="T135" s="12">
        <f>SUM(T123:T134)</f>
        <v>224.03320226570671</v>
      </c>
      <c r="U135" s="20">
        <f>T135*T71</f>
        <v>1792.2656181256536</v>
      </c>
      <c r="V135" s="12">
        <f>U135*28</f>
        <v>50183.437307518303</v>
      </c>
      <c r="W135" s="12">
        <f>SUM(W123:W134)</f>
        <v>253.80338004425778</v>
      </c>
      <c r="X135" s="20">
        <f>W135*W71</f>
        <v>0</v>
      </c>
      <c r="Y135" s="12">
        <f>X135*28</f>
        <v>0</v>
      </c>
      <c r="Z135" s="12">
        <f>SUM(Z123:Z134)</f>
        <v>112.01660113285335</v>
      </c>
      <c r="AA135" s="20">
        <f>Z135*Z71</f>
        <v>3360.4980339856006</v>
      </c>
      <c r="AB135" s="12">
        <f>AA135*28</f>
        <v>94093.944951596815</v>
      </c>
      <c r="AC135" s="24">
        <f t="shared" si="10"/>
        <v>21002.101030944817</v>
      </c>
      <c r="AD135" s="24">
        <f t="shared" si="11"/>
        <v>588058.82886645489</v>
      </c>
      <c r="AF135" s="58"/>
    </row>
    <row r="136" spans="2:32" ht="18" customHeight="1" x14ac:dyDescent="0.3">
      <c r="B136" s="146" t="s">
        <v>13</v>
      </c>
      <c r="C136" s="126" t="s">
        <v>95</v>
      </c>
      <c r="D136" s="5" t="s">
        <v>96</v>
      </c>
      <c r="E136" s="4" t="s">
        <v>95</v>
      </c>
      <c r="F136" s="147">
        <v>101.24</v>
      </c>
      <c r="G136" s="148"/>
      <c r="H136" s="13">
        <f>$F$136*6/28</f>
        <v>21.694285714285712</v>
      </c>
      <c r="I136" s="6">
        <f>H136*H71</f>
        <v>1171.4914285714285</v>
      </c>
      <c r="J136" s="6">
        <f t="shared" si="0"/>
        <v>32801.759999999995</v>
      </c>
      <c r="K136" s="13">
        <f>$F$136*6/28</f>
        <v>21.694285714285712</v>
      </c>
      <c r="L136" s="6">
        <f>K136*K71</f>
        <v>2928.7285714285713</v>
      </c>
      <c r="M136" s="6">
        <f t="shared" ref="M136:M139" si="46">L136*28</f>
        <v>82004.399999999994</v>
      </c>
      <c r="N136" s="13">
        <f>$F$136*6/28</f>
        <v>21.694285714285712</v>
      </c>
      <c r="O136" s="6">
        <f>N136*N71</f>
        <v>151.85999999999999</v>
      </c>
      <c r="P136" s="6">
        <f t="shared" ref="P136:P139" si="47">O136*28</f>
        <v>4252.08</v>
      </c>
      <c r="Q136" s="13">
        <f>$F$136*6/28</f>
        <v>21.694285714285712</v>
      </c>
      <c r="R136" s="6">
        <f>Q136*Q71</f>
        <v>0</v>
      </c>
      <c r="S136" s="6">
        <f t="shared" ref="S136:S139" si="48">R136*28</f>
        <v>0</v>
      </c>
      <c r="T136" s="13">
        <f>$F$136*10/28</f>
        <v>36.157142857142858</v>
      </c>
      <c r="U136" s="6">
        <f>T136*T71</f>
        <v>289.25714285714287</v>
      </c>
      <c r="V136" s="6">
        <f t="shared" ref="V136:V139" si="49">U136*28</f>
        <v>8099.2000000000007</v>
      </c>
      <c r="W136" s="13">
        <f>$F$136*10/28</f>
        <v>36.157142857142858</v>
      </c>
      <c r="X136" s="6">
        <f>W136*W71</f>
        <v>0</v>
      </c>
      <c r="Y136" s="6">
        <f t="shared" ref="Y136:Y139" si="50">X136*28</f>
        <v>0</v>
      </c>
      <c r="Z136" s="13">
        <f>$F$136*10/28</f>
        <v>36.157142857142858</v>
      </c>
      <c r="AA136" s="6">
        <f>Z136*Z71</f>
        <v>1084.7142857142858</v>
      </c>
      <c r="AB136" s="6">
        <f t="shared" ref="AB136:AB139" si="51">AA136*28</f>
        <v>30372</v>
      </c>
      <c r="AC136" s="6">
        <f t="shared" si="10"/>
        <v>5626.0514285714271</v>
      </c>
      <c r="AD136" s="6">
        <f t="shared" si="11"/>
        <v>157529.44</v>
      </c>
      <c r="AF136" s="58"/>
    </row>
    <row r="137" spans="2:32" ht="22.5" customHeight="1" x14ac:dyDescent="0.3">
      <c r="B137" s="146"/>
      <c r="C137" s="126"/>
      <c r="D137" s="65" t="s">
        <v>97</v>
      </c>
      <c r="E137" s="2" t="s">
        <v>30</v>
      </c>
      <c r="F137" s="117" t="s">
        <v>96</v>
      </c>
      <c r="G137" s="119"/>
      <c r="H137" s="12">
        <f>SUM(H136)</f>
        <v>21.694285714285712</v>
      </c>
      <c r="I137" s="20">
        <f>H137*H71</f>
        <v>1171.4914285714285</v>
      </c>
      <c r="J137" s="12">
        <f t="shared" si="0"/>
        <v>32801.759999999995</v>
      </c>
      <c r="K137" s="12">
        <f>SUM(K136)</f>
        <v>21.694285714285712</v>
      </c>
      <c r="L137" s="20">
        <f>K137*K71</f>
        <v>2928.7285714285713</v>
      </c>
      <c r="M137" s="12">
        <f t="shared" si="46"/>
        <v>82004.399999999994</v>
      </c>
      <c r="N137" s="12">
        <f>SUM(N136)</f>
        <v>21.694285714285712</v>
      </c>
      <c r="O137" s="20">
        <f>N137*N71</f>
        <v>151.85999999999999</v>
      </c>
      <c r="P137" s="12">
        <f t="shared" si="47"/>
        <v>4252.08</v>
      </c>
      <c r="Q137" s="12">
        <f>SUM(Q136)</f>
        <v>21.694285714285712</v>
      </c>
      <c r="R137" s="20">
        <f>Q137*Q71</f>
        <v>0</v>
      </c>
      <c r="S137" s="12">
        <f t="shared" si="48"/>
        <v>0</v>
      </c>
      <c r="T137" s="12">
        <f>SUM(T136)</f>
        <v>36.157142857142858</v>
      </c>
      <c r="U137" s="20">
        <f>T137*T71</f>
        <v>289.25714285714287</v>
      </c>
      <c r="V137" s="12">
        <f t="shared" si="49"/>
        <v>8099.2000000000007</v>
      </c>
      <c r="W137" s="12">
        <f>SUM(W136)</f>
        <v>36.157142857142858</v>
      </c>
      <c r="X137" s="20">
        <f>W137*W71</f>
        <v>0</v>
      </c>
      <c r="Y137" s="12">
        <f t="shared" si="50"/>
        <v>0</v>
      </c>
      <c r="Z137" s="12">
        <f>SUM(Z136)</f>
        <v>36.157142857142858</v>
      </c>
      <c r="AA137" s="20">
        <f>Z137*Z71</f>
        <v>1084.7142857142858</v>
      </c>
      <c r="AB137" s="12">
        <f t="shared" si="51"/>
        <v>30372</v>
      </c>
      <c r="AC137" s="24">
        <f t="shared" si="10"/>
        <v>5626.0514285714271</v>
      </c>
      <c r="AD137" s="24">
        <f t="shared" si="11"/>
        <v>157529.44</v>
      </c>
      <c r="AF137" s="58"/>
    </row>
    <row r="138" spans="2:32" ht="18" customHeight="1" x14ac:dyDescent="0.3">
      <c r="B138" s="149" t="s">
        <v>98</v>
      </c>
      <c r="C138" s="149"/>
      <c r="D138" s="149"/>
      <c r="E138" s="149"/>
      <c r="F138" s="117" t="s">
        <v>176</v>
      </c>
      <c r="G138" s="119"/>
      <c r="H138" s="17">
        <f>SUM(H83,H89,H99,H109,H122,H135,H137,)</f>
        <v>2518.7742405542899</v>
      </c>
      <c r="I138" s="20">
        <f>H138*H71</f>
        <v>136013.80898993165</v>
      </c>
      <c r="J138" s="12">
        <f t="shared" si="0"/>
        <v>3808386.6517180866</v>
      </c>
      <c r="K138" s="17">
        <f>SUM(K83,K89,K99,K109,K122,K135,K137,)</f>
        <v>3125.939260168585</v>
      </c>
      <c r="L138" s="20">
        <f>K138*K71</f>
        <v>422001.80012275896</v>
      </c>
      <c r="M138" s="12">
        <f t="shared" si="46"/>
        <v>11816050.403437251</v>
      </c>
      <c r="N138" s="17">
        <f>SUM(N83,N89,N99,N109,N122,N135,N137,)</f>
        <v>2518.7742405542899</v>
      </c>
      <c r="O138" s="20">
        <f>N138*N71</f>
        <v>17631.419683880031</v>
      </c>
      <c r="P138" s="12">
        <f t="shared" si="47"/>
        <v>493679.75114864088</v>
      </c>
      <c r="Q138" s="17">
        <f>SUM(Q83,Q89,Q99,Q109,Q122,Q135,Q137,)</f>
        <v>3249.6471267094671</v>
      </c>
      <c r="R138" s="20">
        <f>Q138*Q71</f>
        <v>0</v>
      </c>
      <c r="S138" s="12">
        <f t="shared" si="48"/>
        <v>0</v>
      </c>
      <c r="T138" s="17">
        <f>SUM(T83,T89,T99,T109,T122,T135,T137,)</f>
        <v>7205.1656715505405</v>
      </c>
      <c r="U138" s="20">
        <f>T138*T71</f>
        <v>57641.325372404324</v>
      </c>
      <c r="V138" s="12">
        <f t="shared" si="49"/>
        <v>1613957.1104273212</v>
      </c>
      <c r="W138" s="17">
        <f>SUM(W83,W89,W99,W109,W122,W135,W137,)</f>
        <v>8063.8855592985283</v>
      </c>
      <c r="X138" s="20">
        <f>W138*W71</f>
        <v>0</v>
      </c>
      <c r="Y138" s="12">
        <f t="shared" si="50"/>
        <v>0</v>
      </c>
      <c r="Z138" s="17">
        <f>SUM(Z83,Z89,Z99,Z109,Z122,Z135,Z137,)</f>
        <v>4071.583165778643</v>
      </c>
      <c r="AA138" s="20">
        <f>Z138*Z71</f>
        <v>122147.49497335929</v>
      </c>
      <c r="AB138" s="12">
        <f t="shared" si="51"/>
        <v>3420129.8592540603</v>
      </c>
      <c r="AC138" s="24">
        <f t="shared" si="10"/>
        <v>755435.84914233431</v>
      </c>
      <c r="AD138" s="24">
        <f t="shared" si="11"/>
        <v>21152203.77598536</v>
      </c>
      <c r="AF138" s="58"/>
    </row>
    <row r="139" spans="2:32" ht="20.399999999999999" x14ac:dyDescent="0.3">
      <c r="B139" s="126" t="s">
        <v>99</v>
      </c>
      <c r="C139" s="146" t="s">
        <v>100</v>
      </c>
      <c r="D139" s="5" t="s">
        <v>101</v>
      </c>
      <c r="E139" s="1" t="s">
        <v>102</v>
      </c>
      <c r="F139" s="23" t="s">
        <v>294</v>
      </c>
      <c r="G139" s="14" t="s">
        <v>254</v>
      </c>
      <c r="H139" s="18">
        <f>H138*H152</f>
        <v>100.7509696221716</v>
      </c>
      <c r="I139" s="6">
        <f>H139*H71</f>
        <v>5440.5523595972663</v>
      </c>
      <c r="J139" s="6">
        <f t="shared" ref="J139" si="52">I139*28</f>
        <v>152335.46606872347</v>
      </c>
      <c r="K139" s="18">
        <f>K138*K152</f>
        <v>250.0751408134868</v>
      </c>
      <c r="L139" s="6">
        <f>K139*K71</f>
        <v>33760.144009820717</v>
      </c>
      <c r="M139" s="6">
        <f t="shared" si="46"/>
        <v>945284.0322749801</v>
      </c>
      <c r="N139" s="18">
        <f>N138*N152</f>
        <v>201.50193924434319</v>
      </c>
      <c r="O139" s="6">
        <f>N139*N71</f>
        <v>1410.5135747104023</v>
      </c>
      <c r="P139" s="6">
        <f t="shared" si="47"/>
        <v>39494.38009189126</v>
      </c>
      <c r="Q139" s="18">
        <f>Q138*Q152</f>
        <v>259.97177013675736</v>
      </c>
      <c r="R139" s="6">
        <f>Q139*Q71</f>
        <v>0</v>
      </c>
      <c r="S139" s="6">
        <f t="shared" si="48"/>
        <v>0</v>
      </c>
      <c r="T139" s="18">
        <f>T138*T152</f>
        <v>576.41325372404322</v>
      </c>
      <c r="U139" s="6">
        <f>T139*T71</f>
        <v>4611.3060297923457</v>
      </c>
      <c r="V139" s="6">
        <f t="shared" si="49"/>
        <v>129116.56883418569</v>
      </c>
      <c r="W139" s="18">
        <f>W138*W152</f>
        <v>645.11084474388224</v>
      </c>
      <c r="X139" s="6">
        <f>W139*W71</f>
        <v>0</v>
      </c>
      <c r="Y139" s="6">
        <f t="shared" si="50"/>
        <v>0</v>
      </c>
      <c r="Z139" s="18">
        <f>Z138*Z152</f>
        <v>325.72665326229145</v>
      </c>
      <c r="AA139" s="6">
        <f>Z139*Z71</f>
        <v>9771.7995978687431</v>
      </c>
      <c r="AB139" s="6">
        <f t="shared" si="51"/>
        <v>273610.38874032482</v>
      </c>
      <c r="AC139" s="6">
        <f t="shared" si="10"/>
        <v>54994.31557178947</v>
      </c>
      <c r="AD139" s="6">
        <f t="shared" si="11"/>
        <v>1539840.8360101052</v>
      </c>
      <c r="AF139" s="58"/>
    </row>
    <row r="140" spans="2:32" ht="18" customHeight="1" x14ac:dyDescent="0.3">
      <c r="B140" s="126"/>
      <c r="C140" s="146"/>
      <c r="D140" s="65" t="s">
        <v>103</v>
      </c>
      <c r="E140" s="2" t="s">
        <v>30</v>
      </c>
      <c r="F140" s="117" t="s">
        <v>101</v>
      </c>
      <c r="G140" s="119"/>
      <c r="H140" s="19">
        <f>SUM(H139)</f>
        <v>100.7509696221716</v>
      </c>
      <c r="I140" s="20">
        <f>H140*H71</f>
        <v>5440.5523595972663</v>
      </c>
      <c r="J140" s="12">
        <f>I140*28</f>
        <v>152335.46606872347</v>
      </c>
      <c r="K140" s="19">
        <f>SUM(K139)</f>
        <v>250.0751408134868</v>
      </c>
      <c r="L140" s="20">
        <f>K140*K71</f>
        <v>33760.144009820717</v>
      </c>
      <c r="M140" s="12">
        <f>L140*28</f>
        <v>945284.0322749801</v>
      </c>
      <c r="N140" s="19">
        <f>SUM(N139)</f>
        <v>201.50193924434319</v>
      </c>
      <c r="O140" s="20">
        <f>N140*N71</f>
        <v>1410.5135747104023</v>
      </c>
      <c r="P140" s="12">
        <f>O140*28</f>
        <v>39494.38009189126</v>
      </c>
      <c r="Q140" s="19">
        <f>SUM(Q139)</f>
        <v>259.97177013675736</v>
      </c>
      <c r="R140" s="20">
        <f>Q140*Q71</f>
        <v>0</v>
      </c>
      <c r="S140" s="12">
        <f>R140*28</f>
        <v>0</v>
      </c>
      <c r="T140" s="19">
        <f>SUM(T139)</f>
        <v>576.41325372404322</v>
      </c>
      <c r="U140" s="20">
        <f>T140*T71</f>
        <v>4611.3060297923457</v>
      </c>
      <c r="V140" s="12">
        <f>U140*28</f>
        <v>129116.56883418569</v>
      </c>
      <c r="W140" s="19">
        <f>SUM(W139)</f>
        <v>645.11084474388224</v>
      </c>
      <c r="X140" s="20">
        <f>W140*W71</f>
        <v>0</v>
      </c>
      <c r="Y140" s="12">
        <f>X140*28</f>
        <v>0</v>
      </c>
      <c r="Z140" s="19">
        <f>SUM(Z139)</f>
        <v>325.72665326229145</v>
      </c>
      <c r="AA140" s="20">
        <f>Z140*Z71</f>
        <v>9771.7995978687431</v>
      </c>
      <c r="AB140" s="12">
        <f>AA140*28</f>
        <v>273610.38874032482</v>
      </c>
      <c r="AC140" s="24">
        <f t="shared" si="10"/>
        <v>54994.31557178947</v>
      </c>
      <c r="AD140" s="24">
        <f t="shared" si="11"/>
        <v>1539840.8360101052</v>
      </c>
      <c r="AF140" s="58"/>
    </row>
    <row r="141" spans="2:32" ht="25.5" customHeight="1" x14ac:dyDescent="0.3">
      <c r="B141" s="126"/>
      <c r="C141" s="146"/>
      <c r="D141" s="5" t="s">
        <v>104</v>
      </c>
      <c r="E141" s="1" t="s">
        <v>105</v>
      </c>
      <c r="F141" s="15" t="s">
        <v>270</v>
      </c>
      <c r="G141" s="7">
        <v>3.7600000000000001E-2</v>
      </c>
      <c r="H141" s="18">
        <f>((H138+H140+H147)/(1-($G$141+$G$142+$G$143+$G$144))*$G$141)</f>
        <v>118.72808314285732</v>
      </c>
      <c r="I141" s="6">
        <f>H141*H71</f>
        <v>6411.3164897142951</v>
      </c>
      <c r="J141" s="6">
        <f t="shared" ref="J141:J144" si="53">I141*28</f>
        <v>179516.86171200027</v>
      </c>
      <c r="K141" s="18">
        <f>((K138+K140+K147)/(1-($G$141+$G$142+$G$143+$G$144))*$G$141)</f>
        <v>163.29886800000003</v>
      </c>
      <c r="L141" s="6">
        <f>K141*K71</f>
        <v>22045.347180000004</v>
      </c>
      <c r="M141" s="6">
        <f t="shared" ref="M141:M144" si="54">L141*28</f>
        <v>617269.72104000009</v>
      </c>
      <c r="N141" s="18">
        <f>((N138+N140+N147)/(1-($G$141+$G$142+$G$143+$G$144))*$G$141)</f>
        <v>131.24932628571423</v>
      </c>
      <c r="O141" s="6">
        <f>N141*N71</f>
        <v>918.74528399999963</v>
      </c>
      <c r="P141" s="6">
        <f t="shared" ref="P141:P144" si="55">O141*28</f>
        <v>25724.86795199999</v>
      </c>
      <c r="Q141" s="18">
        <f>((Q138+Q140+Q147)/(1-($G$141+$G$142+$G$143+$G$144))*$G$141)</f>
        <v>172.54768499805553</v>
      </c>
      <c r="R141" s="6">
        <f>Q141*Q71</f>
        <v>0</v>
      </c>
      <c r="S141" s="6">
        <f t="shared" ref="S141:S144" si="56">R141*28</f>
        <v>0</v>
      </c>
      <c r="T141" s="18">
        <f>((T138+T140+T147)/(1-($G$141+$G$142+$G$143+$G$144))*$G$141)</f>
        <v>383.95938527428467</v>
      </c>
      <c r="U141" s="6">
        <f>T141*T71</f>
        <v>3071.6750821942774</v>
      </c>
      <c r="V141" s="6">
        <f t="shared" ref="V141:V144" si="57">U141*28</f>
        <v>86006.902301439768</v>
      </c>
      <c r="W141" s="18">
        <f>((W138+W140+W147)/(1-($G$141+$G$142+$G$143+$G$144))*$G$141)</f>
        <v>411.05348052829436</v>
      </c>
      <c r="X141" s="6">
        <f>W141*W71</f>
        <v>0</v>
      </c>
      <c r="Y141" s="6">
        <f t="shared" ref="Y141:Y144" si="58">X141*28</f>
        <v>0</v>
      </c>
      <c r="Z141" s="18">
        <f>((Z138+Z140+Z147)/(1-($G$141+$G$142+$G$143+$G$144))*$G$141)</f>
        <v>207.47641057142849</v>
      </c>
      <c r="AA141" s="6">
        <f>Z141*Z71</f>
        <v>6224.2923171428547</v>
      </c>
      <c r="AB141" s="6">
        <f t="shared" ref="AB141:AB144" si="59">AA141*28</f>
        <v>174280.18487999993</v>
      </c>
      <c r="AC141" s="6">
        <f t="shared" si="10"/>
        <v>38671.376353051433</v>
      </c>
      <c r="AD141" s="6">
        <f t="shared" si="11"/>
        <v>1082798.53788544</v>
      </c>
      <c r="AF141" s="58"/>
    </row>
    <row r="142" spans="2:32" x14ac:dyDescent="0.3">
      <c r="B142" s="126"/>
      <c r="C142" s="146"/>
      <c r="D142" s="5" t="s">
        <v>106</v>
      </c>
      <c r="E142" s="1" t="s">
        <v>107</v>
      </c>
      <c r="F142" s="15" t="s">
        <v>177</v>
      </c>
      <c r="G142" s="7">
        <v>0.05</v>
      </c>
      <c r="H142" s="18">
        <f>((H138+H140+H147)/(1-($G$141+$G$142+$G$143+$G$144))*$G$142)</f>
        <v>157.8830892857145</v>
      </c>
      <c r="I142" s="6">
        <f>H142*H71</f>
        <v>8525.6868214285823</v>
      </c>
      <c r="J142" s="6">
        <f t="shared" si="53"/>
        <v>238719.23100000032</v>
      </c>
      <c r="K142" s="18">
        <f>((K138+K140+K147)/(1-($G$141+$G$142+$G$143+$G$144))*$G$142)</f>
        <v>217.15275000000003</v>
      </c>
      <c r="L142" s="6">
        <f>K142*K71</f>
        <v>29315.621250000004</v>
      </c>
      <c r="M142" s="6">
        <f t="shared" si="54"/>
        <v>820837.39500000014</v>
      </c>
      <c r="N142" s="18">
        <f>((N138+N140+N147)/(1-($G$141+$G$142+$G$143+$G$144))*$G$142)</f>
        <v>174.53367857142851</v>
      </c>
      <c r="O142" s="6">
        <f>N142*N71</f>
        <v>1221.7357499999996</v>
      </c>
      <c r="P142" s="6">
        <f t="shared" si="55"/>
        <v>34208.600999999988</v>
      </c>
      <c r="Q142" s="18">
        <f>((Q138+Q140+Q147)/(1-($G$141+$G$142+$G$143+$G$144))*$G$142)</f>
        <v>229.45170877401003</v>
      </c>
      <c r="R142" s="6">
        <f>Q142*Q71</f>
        <v>0</v>
      </c>
      <c r="S142" s="6">
        <f t="shared" si="56"/>
        <v>0</v>
      </c>
      <c r="T142" s="18">
        <f>((T138+T140+T147)/(1-($G$141+$G$142+$G$143+$G$144))*$G$142)</f>
        <v>510.58428892857</v>
      </c>
      <c r="U142" s="6">
        <f>T142*T71</f>
        <v>4084.67431142856</v>
      </c>
      <c r="V142" s="6">
        <f t="shared" si="57"/>
        <v>114370.88071999968</v>
      </c>
      <c r="W142" s="18">
        <f>((W138+W140+W147)/(1-($G$141+$G$142+$G$143+$G$144))*$G$142)</f>
        <v>546.61367091528507</v>
      </c>
      <c r="X142" s="6">
        <f>W142*W71</f>
        <v>0</v>
      </c>
      <c r="Y142" s="6">
        <f t="shared" si="58"/>
        <v>0</v>
      </c>
      <c r="Z142" s="18">
        <f>((Z138+Z140+Z147)/(1-($G$141+$G$142+$G$143+$G$144))*$G$142)</f>
        <v>275.89948214285704</v>
      </c>
      <c r="AA142" s="6">
        <f>Z142*Z71</f>
        <v>8276.9844642857115</v>
      </c>
      <c r="AB142" s="6">
        <f t="shared" si="59"/>
        <v>231755.56499999992</v>
      </c>
      <c r="AC142" s="6">
        <f t="shared" si="10"/>
        <v>51424.702597142859</v>
      </c>
      <c r="AD142" s="6">
        <f t="shared" si="11"/>
        <v>1439891.6727200001</v>
      </c>
      <c r="AF142" s="58"/>
    </row>
    <row r="143" spans="2:32" x14ac:dyDescent="0.3">
      <c r="B143" s="126"/>
      <c r="C143" s="146"/>
      <c r="D143" s="5" t="s">
        <v>108</v>
      </c>
      <c r="E143" s="1" t="s">
        <v>178</v>
      </c>
      <c r="F143" s="15" t="s">
        <v>179</v>
      </c>
      <c r="G143" s="7">
        <v>4.4999999999999998E-2</v>
      </c>
      <c r="H143" s="18">
        <f>((H138+H140+H147)/(1-($G$141+$G$142+$G$143+$G$144))*$G$143)</f>
        <v>142.09478035714304</v>
      </c>
      <c r="I143" s="6">
        <f>H143*H71</f>
        <v>7673.1181392857243</v>
      </c>
      <c r="J143" s="6">
        <f t="shared" si="53"/>
        <v>214847.30790000028</v>
      </c>
      <c r="K143" s="18">
        <f>((K138+K140+K147)/(1-($G$141+$G$142+$G$143+$G$144))*$G$143)</f>
        <v>195.43747500000001</v>
      </c>
      <c r="L143" s="6">
        <f>K143*K71</f>
        <v>26384.059125</v>
      </c>
      <c r="M143" s="6">
        <f t="shared" si="54"/>
        <v>738753.65549999999</v>
      </c>
      <c r="N143" s="18">
        <f>((N138+N140+N147)/(1-($G$141+$G$142+$G$143+$G$144))*$G$143)</f>
        <v>157.08031071428564</v>
      </c>
      <c r="O143" s="6">
        <f>N143*N71</f>
        <v>1099.5621749999996</v>
      </c>
      <c r="P143" s="6">
        <f t="shared" si="55"/>
        <v>30787.74089999999</v>
      </c>
      <c r="Q143" s="18">
        <f>((Q138+Q140+Q147)/(1-($G$141+$G$142+$G$143+$G$144))*$G$143)</f>
        <v>206.50653789660899</v>
      </c>
      <c r="R143" s="6">
        <f>Q143*Q71</f>
        <v>0</v>
      </c>
      <c r="S143" s="6">
        <f t="shared" si="56"/>
        <v>0</v>
      </c>
      <c r="T143" s="18">
        <f>((T138+T140+T147)/(1-($G$141+$G$142+$G$143+$G$144))*$G$143)</f>
        <v>459.52586003571298</v>
      </c>
      <c r="U143" s="6">
        <f>T143*T71</f>
        <v>3676.2068802857038</v>
      </c>
      <c r="V143" s="6">
        <f t="shared" si="57"/>
        <v>102933.79264799971</v>
      </c>
      <c r="W143" s="18">
        <f>((W138+W140+W147)/(1-($G$141+$G$142+$G$143+$G$144))*$G$143)</f>
        <v>491.95230382375649</v>
      </c>
      <c r="X143" s="6">
        <f>W143*W71</f>
        <v>0</v>
      </c>
      <c r="Y143" s="6">
        <f t="shared" si="58"/>
        <v>0</v>
      </c>
      <c r="Z143" s="18">
        <f>((Z138+Z140+Z147)/(1-($G$141+$G$142+$G$143+$G$144))*$G$143)</f>
        <v>248.30953392857128</v>
      </c>
      <c r="AA143" s="6">
        <f>Z143*Z71</f>
        <v>7449.2860178571382</v>
      </c>
      <c r="AB143" s="6">
        <f t="shared" si="59"/>
        <v>208580.00849999988</v>
      </c>
      <c r="AC143" s="6">
        <f t="shared" si="10"/>
        <v>46282.232337428562</v>
      </c>
      <c r="AD143" s="6">
        <f t="shared" si="11"/>
        <v>1295902.505448</v>
      </c>
      <c r="AF143" s="58"/>
    </row>
    <row r="144" spans="2:32" ht="24.75" customHeight="1" x14ac:dyDescent="0.3">
      <c r="B144" s="126"/>
      <c r="C144" s="146"/>
      <c r="D144" s="5" t="s">
        <v>110</v>
      </c>
      <c r="E144" s="1" t="s">
        <v>109</v>
      </c>
      <c r="F144" s="15" t="s">
        <v>271</v>
      </c>
      <c r="G144" s="7">
        <v>8.2000000000000007E-3</v>
      </c>
      <c r="H144" s="18">
        <f>((H138+H140+H147)/(1-($G$141+$G$142+$G$143+$G$144))*$G$144)</f>
        <v>25.89282664285718</v>
      </c>
      <c r="I144" s="6">
        <f>H144*H71</f>
        <v>1398.2126387142878</v>
      </c>
      <c r="J144" s="6">
        <f t="shared" si="53"/>
        <v>39149.95388400006</v>
      </c>
      <c r="K144" s="18">
        <f>((K138+K140+K147)/(1-($G$141+$G$142+$G$143+$G$144))*$G$144)</f>
        <v>35.613051000000006</v>
      </c>
      <c r="L144" s="6">
        <f>K144*K71</f>
        <v>4807.7618850000008</v>
      </c>
      <c r="M144" s="6">
        <f t="shared" si="54"/>
        <v>134617.33278000003</v>
      </c>
      <c r="N144" s="18">
        <f>((N138+N140+N147)/(1-($G$141+$G$142+$G$143+$G$144))*$G$144)</f>
        <v>28.623523285714278</v>
      </c>
      <c r="O144" s="6">
        <f>N144*N71</f>
        <v>200.36466299999995</v>
      </c>
      <c r="P144" s="6">
        <f t="shared" si="55"/>
        <v>5610.2105639999991</v>
      </c>
      <c r="Q144" s="18">
        <f>((Q138+Q140+Q147)/(1-($G$141+$G$142+$G$143+$G$144))*$G$144)</f>
        <v>37.630080238937644</v>
      </c>
      <c r="R144" s="6">
        <f>Q144*Q71</f>
        <v>0</v>
      </c>
      <c r="S144" s="6">
        <f t="shared" si="56"/>
        <v>0</v>
      </c>
      <c r="T144" s="18">
        <f>((T138+T140+T147)/(1-($G$141+$G$142+$G$143+$G$144))*$G$144)</f>
        <v>83.735823384285482</v>
      </c>
      <c r="U144" s="6">
        <f>T144*T71</f>
        <v>669.88658707428385</v>
      </c>
      <c r="V144" s="6">
        <f t="shared" si="57"/>
        <v>18756.824438079948</v>
      </c>
      <c r="W144" s="18">
        <f>((W138+W140+W147)/(1-($G$141+$G$142+$G$143+$G$144))*$G$144)</f>
        <v>89.644642030106752</v>
      </c>
      <c r="X144" s="6">
        <f>W144*W71</f>
        <v>0</v>
      </c>
      <c r="Y144" s="6">
        <f t="shared" si="58"/>
        <v>0</v>
      </c>
      <c r="Z144" s="18">
        <f>((Z138+Z140+Z147)/(1-($G$141+$G$142+$G$143+$G$144))*$G$144)</f>
        <v>45.247515071428552</v>
      </c>
      <c r="AA144" s="6">
        <f>Z144*Z71</f>
        <v>1357.4254521428566</v>
      </c>
      <c r="AB144" s="6">
        <f t="shared" si="59"/>
        <v>38007.912659999987</v>
      </c>
      <c r="AC144" s="6">
        <f t="shared" si="10"/>
        <v>8433.6512259314295</v>
      </c>
      <c r="AD144" s="6">
        <f t="shared" si="11"/>
        <v>236142.23432608001</v>
      </c>
      <c r="AF144" s="58"/>
    </row>
    <row r="145" spans="2:32" ht="18" customHeight="1" x14ac:dyDescent="0.3">
      <c r="B145" s="126"/>
      <c r="C145" s="146"/>
      <c r="D145" s="65" t="s">
        <v>111</v>
      </c>
      <c r="E145" s="2" t="s">
        <v>30</v>
      </c>
      <c r="F145" s="117" t="s">
        <v>292</v>
      </c>
      <c r="G145" s="119"/>
      <c r="H145" s="19">
        <f>SUM(H141:H144)</f>
        <v>444.59877942857207</v>
      </c>
      <c r="I145" s="20">
        <f>H145*H71</f>
        <v>24008.334089142892</v>
      </c>
      <c r="J145" s="12">
        <f>I145*28</f>
        <v>672233.35449600103</v>
      </c>
      <c r="K145" s="19">
        <f>SUM(K141:K144)</f>
        <v>611.50214400000004</v>
      </c>
      <c r="L145" s="20">
        <f>K145*K71</f>
        <v>82552.789440000008</v>
      </c>
      <c r="M145" s="12">
        <f>L145*28</f>
        <v>2311478.1043200004</v>
      </c>
      <c r="N145" s="19">
        <f>SUM(N141:N144)</f>
        <v>491.48683885714263</v>
      </c>
      <c r="O145" s="20">
        <f>N145*N71</f>
        <v>3440.4078719999984</v>
      </c>
      <c r="P145" s="12">
        <f>O145*28</f>
        <v>96331.42041599995</v>
      </c>
      <c r="Q145" s="19">
        <f>SUM(Q141:Q144)</f>
        <v>646.13601190761221</v>
      </c>
      <c r="R145" s="20">
        <f>Q145*Q71</f>
        <v>0</v>
      </c>
      <c r="S145" s="12">
        <f>R145*28</f>
        <v>0</v>
      </c>
      <c r="T145" s="19">
        <f>SUM(T141:T144)</f>
        <v>1437.8053576228531</v>
      </c>
      <c r="U145" s="20">
        <f>T145*T71</f>
        <v>11502.442860982825</v>
      </c>
      <c r="V145" s="12">
        <f>U145*28</f>
        <v>322068.40010751912</v>
      </c>
      <c r="W145" s="19">
        <f>SUM(W141:W144)</f>
        <v>1539.2640972974427</v>
      </c>
      <c r="X145" s="20">
        <f>W145*W71</f>
        <v>0</v>
      </c>
      <c r="Y145" s="12">
        <f>X145*28</f>
        <v>0</v>
      </c>
      <c r="Z145" s="19">
        <f>SUM(Z141:Z144)</f>
        <v>776.93294171428533</v>
      </c>
      <c r="AA145" s="20">
        <f>Z145*Z71</f>
        <v>23307.98825142856</v>
      </c>
      <c r="AB145" s="12">
        <f>AA145*28</f>
        <v>652623.6710399997</v>
      </c>
      <c r="AC145" s="24">
        <f t="shared" si="10"/>
        <v>144811.96251355429</v>
      </c>
      <c r="AD145" s="24">
        <f t="shared" si="11"/>
        <v>4054734.9503795197</v>
      </c>
      <c r="AF145" s="58"/>
    </row>
    <row r="146" spans="2:32" ht="20.399999999999999" x14ac:dyDescent="0.3">
      <c r="B146" s="126"/>
      <c r="C146" s="146"/>
      <c r="D146" s="77" t="s">
        <v>113</v>
      </c>
      <c r="E146" s="78" t="s">
        <v>112</v>
      </c>
      <c r="F146" s="79" t="s">
        <v>295</v>
      </c>
      <c r="G146" s="83" t="s">
        <v>254</v>
      </c>
      <c r="H146" s="18">
        <f>(H138+H140)*H151</f>
        <v>93.537796109256618</v>
      </c>
      <c r="I146" s="6">
        <f>H146*H71</f>
        <v>5051.0409898998578</v>
      </c>
      <c r="J146" s="6">
        <f t="shared" ref="J146:J149" si="60">I146*28</f>
        <v>141429.14771719603</v>
      </c>
      <c r="K146" s="18">
        <f>(K138+K140)*K151</f>
        <v>355.53845501792847</v>
      </c>
      <c r="L146" s="6">
        <f>K146*K71</f>
        <v>47997.691427420345</v>
      </c>
      <c r="M146" s="6">
        <f t="shared" ref="M146:M149" si="61">L146*28</f>
        <v>1343935.3599677696</v>
      </c>
      <c r="N146" s="18">
        <f>(N138+N140)*N151</f>
        <v>278.91055277279418</v>
      </c>
      <c r="O146" s="6">
        <f>N146*N71</f>
        <v>1952.3738694095591</v>
      </c>
      <c r="P146" s="6">
        <f t="shared" ref="P146:P149" si="62">O146*28</f>
        <v>54666.468343467655</v>
      </c>
      <c r="Q146" s="18">
        <f>(Q138+Q140)*Q151</f>
        <v>433.2792667263638</v>
      </c>
      <c r="R146" s="6">
        <f>Q146*Q71</f>
        <v>0</v>
      </c>
      <c r="S146" s="6">
        <f t="shared" ref="S146:S149" si="63">R146*28</f>
        <v>0</v>
      </c>
      <c r="T146" s="18">
        <f>(T138+T140)*T151</f>
        <v>992.30149567396279</v>
      </c>
      <c r="U146" s="6">
        <f>T146*T71</f>
        <v>7938.4119653917023</v>
      </c>
      <c r="V146" s="6">
        <f t="shared" ref="V146:V149" si="64">U146*28</f>
        <v>222275.53503096767</v>
      </c>
      <c r="W146" s="18">
        <f>(W138+W140)*W151</f>
        <v>684.0129169658469</v>
      </c>
      <c r="X146" s="6">
        <f>W146*W71</f>
        <v>0</v>
      </c>
      <c r="Y146" s="6">
        <f t="shared" ref="Y146:Y149" si="65">X146*28</f>
        <v>0</v>
      </c>
      <c r="Z146" s="18">
        <f>(Z138+Z140)*Z151</f>
        <v>343.74688210192033</v>
      </c>
      <c r="AA146" s="6">
        <f>Z146*Z71</f>
        <v>10312.40646305761</v>
      </c>
      <c r="AB146" s="6">
        <f t="shared" ref="AB146:AB149" si="66">AA146*28</f>
        <v>288747.38096561306</v>
      </c>
      <c r="AC146" s="6">
        <f t="shared" si="10"/>
        <v>73251.924715179077</v>
      </c>
      <c r="AD146" s="6">
        <f t="shared" si="11"/>
        <v>2051053.8920250142</v>
      </c>
      <c r="AF146" s="58"/>
    </row>
    <row r="147" spans="2:32" ht="18" customHeight="1" x14ac:dyDescent="0.3">
      <c r="B147" s="126"/>
      <c r="C147" s="146"/>
      <c r="D147" s="65" t="s">
        <v>180</v>
      </c>
      <c r="E147" s="2" t="s">
        <v>30</v>
      </c>
      <c r="F147" s="117" t="s">
        <v>113</v>
      </c>
      <c r="G147" s="119"/>
      <c r="H147" s="19">
        <f>SUM(H146)</f>
        <v>93.537796109256618</v>
      </c>
      <c r="I147" s="20">
        <f>H147*H71</f>
        <v>5051.0409898998578</v>
      </c>
      <c r="J147" s="12">
        <f t="shared" si="60"/>
        <v>141429.14771719603</v>
      </c>
      <c r="K147" s="19">
        <f>SUM(K146)</f>
        <v>355.53845501792847</v>
      </c>
      <c r="L147" s="20">
        <f>K147*K71</f>
        <v>47997.691427420345</v>
      </c>
      <c r="M147" s="12">
        <f t="shared" si="61"/>
        <v>1343935.3599677696</v>
      </c>
      <c r="N147" s="19">
        <f>SUM(N146)</f>
        <v>278.91055277279418</v>
      </c>
      <c r="O147" s="20">
        <f>N147*N71</f>
        <v>1952.3738694095591</v>
      </c>
      <c r="P147" s="12">
        <f t="shared" si="62"/>
        <v>54666.468343467655</v>
      </c>
      <c r="Q147" s="19">
        <f>SUM(Q146)</f>
        <v>433.2792667263638</v>
      </c>
      <c r="R147" s="20">
        <f>Q147*Q71</f>
        <v>0</v>
      </c>
      <c r="S147" s="12">
        <f t="shared" si="63"/>
        <v>0</v>
      </c>
      <c r="T147" s="19">
        <f>SUM(T146)</f>
        <v>992.30149567396279</v>
      </c>
      <c r="U147" s="20">
        <f>T147*T71</f>
        <v>7938.4119653917023</v>
      </c>
      <c r="V147" s="12">
        <f t="shared" si="64"/>
        <v>222275.53503096767</v>
      </c>
      <c r="W147" s="19">
        <f>SUM(W146)</f>
        <v>684.0129169658469</v>
      </c>
      <c r="X147" s="20">
        <f>W147*W71</f>
        <v>0</v>
      </c>
      <c r="Y147" s="12">
        <f t="shared" si="65"/>
        <v>0</v>
      </c>
      <c r="Z147" s="19">
        <f>SUM(Z146)</f>
        <v>343.74688210192033</v>
      </c>
      <c r="AA147" s="20">
        <f>Z147*Z71</f>
        <v>10312.40646305761</v>
      </c>
      <c r="AB147" s="12">
        <f t="shared" si="66"/>
        <v>288747.38096561306</v>
      </c>
      <c r="AC147" s="24">
        <f t="shared" si="10"/>
        <v>73251.924715179077</v>
      </c>
      <c r="AD147" s="24">
        <f t="shared" si="11"/>
        <v>2051053.8920250142</v>
      </c>
      <c r="AF147" s="58"/>
    </row>
    <row r="148" spans="2:32" ht="18" customHeight="1" x14ac:dyDescent="0.3">
      <c r="B148" s="127" t="s">
        <v>114</v>
      </c>
      <c r="C148" s="143"/>
      <c r="D148" s="143"/>
      <c r="E148" s="143"/>
      <c r="F148" s="143"/>
      <c r="G148" s="128"/>
      <c r="H148" s="19">
        <f>H140+H145+H147</f>
        <v>638.88754516000029</v>
      </c>
      <c r="I148" s="20">
        <f>H148*H71</f>
        <v>34499.927438640014</v>
      </c>
      <c r="J148" s="12">
        <f t="shared" si="60"/>
        <v>965997.96828192042</v>
      </c>
      <c r="K148" s="19">
        <f>K140+K145+K147</f>
        <v>1217.1157398314153</v>
      </c>
      <c r="L148" s="20">
        <f>K148*K71</f>
        <v>164310.62487724106</v>
      </c>
      <c r="M148" s="12">
        <f t="shared" si="61"/>
        <v>4600697.4965627501</v>
      </c>
      <c r="N148" s="19">
        <f>N140+N145+N147</f>
        <v>971.89933087428005</v>
      </c>
      <c r="O148" s="20">
        <f>N148*N71</f>
        <v>6803.2953161199603</v>
      </c>
      <c r="P148" s="12">
        <f t="shared" si="62"/>
        <v>190492.26885135888</v>
      </c>
      <c r="Q148" s="19">
        <f>Q140+Q145+Q147</f>
        <v>1339.3870487707334</v>
      </c>
      <c r="R148" s="20">
        <f>Q148*Q71</f>
        <v>0</v>
      </c>
      <c r="S148" s="12">
        <f t="shared" si="63"/>
        <v>0</v>
      </c>
      <c r="T148" s="19">
        <f>T140+T145+T147</f>
        <v>3006.5201070208591</v>
      </c>
      <c r="U148" s="20">
        <f>T148*T71</f>
        <v>24052.160856166873</v>
      </c>
      <c r="V148" s="12">
        <f t="shared" si="64"/>
        <v>673460.50397267239</v>
      </c>
      <c r="W148" s="19">
        <f>W140+W145+W147</f>
        <v>2868.3878590071718</v>
      </c>
      <c r="X148" s="20">
        <f>W148*W71</f>
        <v>0</v>
      </c>
      <c r="Y148" s="12">
        <f t="shared" si="65"/>
        <v>0</v>
      </c>
      <c r="Z148" s="19">
        <f>Z140+Z145+Z147</f>
        <v>1446.4064770784971</v>
      </c>
      <c r="AA148" s="20">
        <f>Z148*Z71</f>
        <v>43392.194312354914</v>
      </c>
      <c r="AB148" s="12">
        <f t="shared" si="66"/>
        <v>1214981.4407459376</v>
      </c>
      <c r="AC148" s="24">
        <f t="shared" ref="AC148:AC149" si="67">SUM(I148,L148,O148,R148,U148,X148,AA148)</f>
        <v>273058.20280052285</v>
      </c>
      <c r="AD148" s="24">
        <f t="shared" ref="AD148:AD149" si="68">SUM(J148,M148,P148,S148,V148,Y148,AB148)</f>
        <v>7645629.6784146382</v>
      </c>
      <c r="AF148" s="58"/>
    </row>
    <row r="149" spans="2:32" ht="18" customHeight="1" x14ac:dyDescent="0.3">
      <c r="B149" s="127" t="s">
        <v>115</v>
      </c>
      <c r="C149" s="143"/>
      <c r="D149" s="143"/>
      <c r="E149" s="143"/>
      <c r="F149" s="143"/>
      <c r="G149" s="128"/>
      <c r="H149" s="19">
        <f>H138+H148</f>
        <v>3157.6617857142901</v>
      </c>
      <c r="I149" s="20">
        <f>H149*H71</f>
        <v>170513.73642857166</v>
      </c>
      <c r="J149" s="12">
        <f t="shared" si="60"/>
        <v>4774384.6200000066</v>
      </c>
      <c r="K149" s="19">
        <f>K138+K148</f>
        <v>4343.0550000000003</v>
      </c>
      <c r="L149" s="20">
        <f>K149*K71</f>
        <v>586312.42500000005</v>
      </c>
      <c r="M149" s="12">
        <f t="shared" si="61"/>
        <v>16416747.900000002</v>
      </c>
      <c r="N149" s="19">
        <f>N138+N148</f>
        <v>3490.6735714285701</v>
      </c>
      <c r="O149" s="20">
        <f>N149*N71</f>
        <v>24434.714999999989</v>
      </c>
      <c r="P149" s="12">
        <f t="shared" si="62"/>
        <v>684172.01999999967</v>
      </c>
      <c r="Q149" s="19">
        <f>Q138+Q148</f>
        <v>4589.0341754802002</v>
      </c>
      <c r="R149" s="20">
        <f>Q149*Q71</f>
        <v>0</v>
      </c>
      <c r="S149" s="12">
        <f t="shared" si="63"/>
        <v>0</v>
      </c>
      <c r="T149" s="19">
        <f>T138+T148</f>
        <v>10211.6857785714</v>
      </c>
      <c r="U149" s="20">
        <f>T149*T71</f>
        <v>81693.486228571201</v>
      </c>
      <c r="V149" s="12">
        <f t="shared" si="64"/>
        <v>2287417.6143999938</v>
      </c>
      <c r="W149" s="19">
        <f>W138+W148</f>
        <v>10932.2734183057</v>
      </c>
      <c r="X149" s="20">
        <f>W149*W71</f>
        <v>0</v>
      </c>
      <c r="Y149" s="12">
        <f t="shared" si="65"/>
        <v>0</v>
      </c>
      <c r="Z149" s="19">
        <f>Z138+Z148</f>
        <v>5517.9896428571401</v>
      </c>
      <c r="AA149" s="20">
        <f>Z149*Z71</f>
        <v>165539.68928571421</v>
      </c>
      <c r="AB149" s="12">
        <f t="shared" si="66"/>
        <v>4635111.299999998</v>
      </c>
      <c r="AC149" s="24">
        <f t="shared" si="67"/>
        <v>1028494.051942857</v>
      </c>
      <c r="AD149" s="24">
        <f t="shared" si="68"/>
        <v>28797833.454400003</v>
      </c>
      <c r="AF149" s="58"/>
    </row>
    <row r="151" spans="2:32" ht="20.399999999999999" x14ac:dyDescent="0.3">
      <c r="E151" s="77" t="s">
        <v>113</v>
      </c>
      <c r="F151" s="78" t="s">
        <v>275</v>
      </c>
      <c r="G151" s="79" t="s">
        <v>269</v>
      </c>
      <c r="H151" s="81">
        <v>3.570791979625787E-2</v>
      </c>
      <c r="K151" s="81">
        <v>0.10531307417246308</v>
      </c>
      <c r="N151" s="81">
        <v>0.10253023382112635</v>
      </c>
      <c r="Q151" s="81">
        <v>0.12345479080811667</v>
      </c>
      <c r="T151" s="81">
        <v>0.12751929977230786</v>
      </c>
      <c r="W151" s="81">
        <v>7.8540957560661304E-2</v>
      </c>
      <c r="Z151" s="81">
        <v>7.8172086172652824E-2</v>
      </c>
      <c r="AC151" s="60"/>
    </row>
    <row r="152" spans="2:32" x14ac:dyDescent="0.3">
      <c r="E152" s="5" t="s">
        <v>101</v>
      </c>
      <c r="F152" s="1" t="s">
        <v>102</v>
      </c>
      <c r="G152" s="23" t="s">
        <v>280</v>
      </c>
      <c r="H152" s="14">
        <v>0.04</v>
      </c>
      <c r="I152" s="61"/>
      <c r="J152" s="61"/>
      <c r="K152" s="14">
        <v>0.08</v>
      </c>
      <c r="L152" s="61"/>
      <c r="M152" s="61"/>
      <c r="N152" s="14">
        <v>0.08</v>
      </c>
      <c r="O152" s="61"/>
      <c r="P152" s="61"/>
      <c r="Q152" s="14">
        <v>0.08</v>
      </c>
      <c r="R152" s="61"/>
      <c r="S152" s="61"/>
      <c r="T152" s="14">
        <v>0.08</v>
      </c>
      <c r="U152" s="61"/>
      <c r="V152" s="61"/>
      <c r="W152" s="14">
        <v>0.08</v>
      </c>
      <c r="X152" s="61"/>
      <c r="Y152" s="61"/>
      <c r="Z152" s="14">
        <v>0.08</v>
      </c>
    </row>
    <row r="153" spans="2:32" s="61" customFormat="1" x14ac:dyDescent="0.3">
      <c r="F153" s="82"/>
    </row>
  </sheetData>
  <mergeCells count="121">
    <mergeCell ref="B149:G149"/>
    <mergeCell ref="F136:G136"/>
    <mergeCell ref="F137:G137"/>
    <mergeCell ref="F138:G138"/>
    <mergeCell ref="F140:G140"/>
    <mergeCell ref="B136:B137"/>
    <mergeCell ref="C136:C137"/>
    <mergeCell ref="B138:E138"/>
    <mergeCell ref="B139:B147"/>
    <mergeCell ref="C139:C147"/>
    <mergeCell ref="F112:G112"/>
    <mergeCell ref="F113:G113"/>
    <mergeCell ref="F69:G73"/>
    <mergeCell ref="Q69:S69"/>
    <mergeCell ref="AC69:AD69"/>
    <mergeCell ref="AD72:AD73"/>
    <mergeCell ref="F147:G147"/>
    <mergeCell ref="F145:G145"/>
    <mergeCell ref="B148:G148"/>
    <mergeCell ref="F123:G123"/>
    <mergeCell ref="F124:G124"/>
    <mergeCell ref="F125:G125"/>
    <mergeCell ref="F134:G134"/>
    <mergeCell ref="F135:G135"/>
    <mergeCell ref="B74:B89"/>
    <mergeCell ref="C74:C83"/>
    <mergeCell ref="C84:C89"/>
    <mergeCell ref="B90:B135"/>
    <mergeCell ref="C90:C99"/>
    <mergeCell ref="C100:C109"/>
    <mergeCell ref="C110:C122"/>
    <mergeCell ref="C123:C135"/>
    <mergeCell ref="F83:G83"/>
    <mergeCell ref="F122:G122"/>
    <mergeCell ref="F109:G109"/>
    <mergeCell ref="F99:G99"/>
    <mergeCell ref="F89:G89"/>
    <mergeCell ref="F90:G90"/>
    <mergeCell ref="F74:G74"/>
    <mergeCell ref="F88:G88"/>
    <mergeCell ref="F100:G100"/>
    <mergeCell ref="F110:G110"/>
    <mergeCell ref="F111:G111"/>
    <mergeCell ref="B69:B73"/>
    <mergeCell ref="C69:C73"/>
    <mergeCell ref="D69:D73"/>
    <mergeCell ref="E69:E73"/>
    <mergeCell ref="H69:J69"/>
    <mergeCell ref="K69:M69"/>
    <mergeCell ref="I70:J70"/>
    <mergeCell ref="L70:M70"/>
    <mergeCell ref="I71:J71"/>
    <mergeCell ref="L71:M71"/>
    <mergeCell ref="T69:V69"/>
    <mergeCell ref="W69:Y69"/>
    <mergeCell ref="Z69:AB69"/>
    <mergeCell ref="H72:AB72"/>
    <mergeCell ref="AC72:AC73"/>
    <mergeCell ref="O71:P71"/>
    <mergeCell ref="R71:S71"/>
    <mergeCell ref="U71:V71"/>
    <mergeCell ref="X71:Y71"/>
    <mergeCell ref="AA71:AB71"/>
    <mergeCell ref="AC71:AD71"/>
    <mergeCell ref="O70:P70"/>
    <mergeCell ref="R70:S70"/>
    <mergeCell ref="U70:V70"/>
    <mergeCell ref="X70:Y70"/>
    <mergeCell ref="AA70:AB70"/>
    <mergeCell ref="AC70:AD70"/>
    <mergeCell ref="N69:P69"/>
    <mergeCell ref="D6:E6"/>
    <mergeCell ref="D7:E7"/>
    <mergeCell ref="B9:D9"/>
    <mergeCell ref="B10:E10"/>
    <mergeCell ref="B11:E11"/>
    <mergeCell ref="B1:C1"/>
    <mergeCell ref="B2:E2"/>
    <mergeCell ref="B3:E3"/>
    <mergeCell ref="B4:D4"/>
    <mergeCell ref="B5:D5"/>
    <mergeCell ref="B19:G19"/>
    <mergeCell ref="B20:G20"/>
    <mergeCell ref="B23:C23"/>
    <mergeCell ref="B31:C31"/>
    <mergeCell ref="B36:C36"/>
    <mergeCell ref="B12:D12"/>
    <mergeCell ref="B13:D13"/>
    <mergeCell ref="D14:E14"/>
    <mergeCell ref="D15:E15"/>
    <mergeCell ref="B17:C17"/>
    <mergeCell ref="F40:G40"/>
    <mergeCell ref="F41:G41"/>
    <mergeCell ref="B45:B48"/>
    <mergeCell ref="C45:C48"/>
    <mergeCell ref="D45:F45"/>
    <mergeCell ref="G45:I45"/>
    <mergeCell ref="B37:F37"/>
    <mergeCell ref="G37:L37"/>
    <mergeCell ref="B38:F38"/>
    <mergeCell ref="G38:L38"/>
    <mergeCell ref="B39:L39"/>
    <mergeCell ref="G61:K61"/>
    <mergeCell ref="Y47:Y48"/>
    <mergeCell ref="Z47:Z48"/>
    <mergeCell ref="B52:X52"/>
    <mergeCell ref="Y52:Z52"/>
    <mergeCell ref="Y45:Z45"/>
    <mergeCell ref="D46:F46"/>
    <mergeCell ref="G46:I46"/>
    <mergeCell ref="J46:L46"/>
    <mergeCell ref="M46:O46"/>
    <mergeCell ref="P46:R46"/>
    <mergeCell ref="S46:U46"/>
    <mergeCell ref="V46:X46"/>
    <mergeCell ref="J45:L45"/>
    <mergeCell ref="M45:O45"/>
    <mergeCell ref="P45:R45"/>
    <mergeCell ref="S45:U45"/>
    <mergeCell ref="V45:X45"/>
    <mergeCell ref="B49:B5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7B41B-9386-4D34-BC5B-794906F7895E}">
  <dimension ref="B2:AB14"/>
  <sheetViews>
    <sheetView zoomScale="115" zoomScaleNormal="115" workbookViewId="0">
      <selection activeCell="P6" sqref="P6"/>
    </sheetView>
  </sheetViews>
  <sheetFormatPr defaultColWidth="10.8984375" defaultRowHeight="7.8" x14ac:dyDescent="0.15"/>
  <cols>
    <col min="1" max="1" width="1.19921875" style="38" customWidth="1"/>
    <col min="2" max="2" width="3.3984375" style="38" customWidth="1"/>
    <col min="3" max="3" width="15" style="38" customWidth="1"/>
    <col min="4" max="4" width="7.59765625" style="47" bestFit="1" customWidth="1"/>
    <col min="5" max="5" width="10.3984375" style="48" bestFit="1" customWidth="1"/>
    <col min="6" max="6" width="10.09765625" style="38" customWidth="1"/>
    <col min="7" max="7" width="7.59765625" style="47" customWidth="1"/>
    <col min="8" max="8" width="9" style="48" bestFit="1" customWidth="1"/>
    <col min="9" max="9" width="9.69921875" style="38" customWidth="1"/>
    <col min="10" max="10" width="3.3984375" style="47" customWidth="1"/>
    <col min="11" max="11" width="9" style="48" bestFit="1" customWidth="1"/>
    <col min="12" max="12" width="9.69921875" style="38" customWidth="1"/>
    <col min="13" max="13" width="4.8984375" style="47" customWidth="1"/>
    <col min="14" max="14" width="10.3984375" style="48" bestFit="1" customWidth="1"/>
    <col min="15" max="15" width="9.09765625" style="38" customWidth="1"/>
    <col min="16" max="16" width="7.59765625" style="47" bestFit="1" customWidth="1"/>
    <col min="17" max="17" width="9" style="38" bestFit="1" customWidth="1"/>
    <col min="18" max="18" width="9.69921875" style="38" customWidth="1"/>
    <col min="19" max="19" width="3.3984375" style="47" customWidth="1"/>
    <col min="20" max="20" width="10.3984375" style="38" bestFit="1" customWidth="1"/>
    <col min="21" max="21" width="9.5" style="38" customWidth="1"/>
    <col min="22" max="22" width="7.59765625" style="47" bestFit="1" customWidth="1"/>
    <col min="23" max="23" width="10.3984375" style="38" bestFit="1" customWidth="1"/>
    <col min="24" max="24" width="10" style="38" customWidth="1"/>
    <col min="25" max="25" width="10.19921875" style="49" bestFit="1" customWidth="1"/>
    <col min="26" max="26" width="11.3984375" style="49" bestFit="1" customWidth="1"/>
    <col min="27" max="16384" width="10.8984375" style="38"/>
  </cols>
  <sheetData>
    <row r="2" spans="2:28" ht="11.1" customHeight="1" x14ac:dyDescent="0.15">
      <c r="B2" s="156" t="s">
        <v>181</v>
      </c>
      <c r="C2" s="156" t="s">
        <v>251</v>
      </c>
      <c r="D2" s="150" t="s">
        <v>217</v>
      </c>
      <c r="E2" s="150"/>
      <c r="F2" s="150"/>
      <c r="G2" s="150" t="s">
        <v>218</v>
      </c>
      <c r="H2" s="150"/>
      <c r="I2" s="150"/>
      <c r="J2" s="150" t="s">
        <v>219</v>
      </c>
      <c r="K2" s="150"/>
      <c r="L2" s="150"/>
      <c r="M2" s="150" t="s">
        <v>220</v>
      </c>
      <c r="N2" s="150"/>
      <c r="O2" s="150"/>
      <c r="P2" s="150" t="s">
        <v>221</v>
      </c>
      <c r="Q2" s="150"/>
      <c r="R2" s="150"/>
      <c r="S2" s="150" t="s">
        <v>222</v>
      </c>
      <c r="T2" s="150"/>
      <c r="U2" s="150"/>
      <c r="V2" s="150" t="s">
        <v>223</v>
      </c>
      <c r="W2" s="150"/>
      <c r="X2" s="150"/>
      <c r="Y2" s="157"/>
      <c r="Z2" s="157"/>
    </row>
    <row r="3" spans="2:28" ht="11.1" customHeight="1" x14ac:dyDescent="0.15">
      <c r="B3" s="156"/>
      <c r="C3" s="156"/>
      <c r="D3" s="150" t="s">
        <v>4</v>
      </c>
      <c r="E3" s="150"/>
      <c r="F3" s="150"/>
      <c r="G3" s="150" t="s">
        <v>5</v>
      </c>
      <c r="H3" s="150"/>
      <c r="I3" s="150"/>
      <c r="J3" s="150" t="s">
        <v>6</v>
      </c>
      <c r="K3" s="150"/>
      <c r="L3" s="150"/>
      <c r="M3" s="150" t="s">
        <v>7</v>
      </c>
      <c r="N3" s="150"/>
      <c r="O3" s="150"/>
      <c r="P3" s="150" t="s">
        <v>8</v>
      </c>
      <c r="Q3" s="150"/>
      <c r="R3" s="150"/>
      <c r="S3" s="150" t="s">
        <v>9</v>
      </c>
      <c r="T3" s="150"/>
      <c r="U3" s="150"/>
      <c r="V3" s="150" t="s">
        <v>10</v>
      </c>
      <c r="W3" s="150"/>
      <c r="X3" s="150"/>
      <c r="Y3" s="153" t="s">
        <v>252</v>
      </c>
      <c r="Z3" s="153"/>
    </row>
    <row r="4" spans="2:28" ht="11.1" customHeight="1" x14ac:dyDescent="0.15">
      <c r="B4" s="156"/>
      <c r="C4" s="156"/>
      <c r="D4" s="93" t="s">
        <v>14</v>
      </c>
      <c r="E4" s="93" t="s">
        <v>15</v>
      </c>
      <c r="F4" s="93" t="s">
        <v>225</v>
      </c>
      <c r="G4" s="93" t="s">
        <v>19</v>
      </c>
      <c r="H4" s="93" t="s">
        <v>21</v>
      </c>
      <c r="I4" s="93" t="s">
        <v>226</v>
      </c>
      <c r="J4" s="93" t="s">
        <v>23</v>
      </c>
      <c r="K4" s="93" t="s">
        <v>25</v>
      </c>
      <c r="L4" s="93" t="s">
        <v>227</v>
      </c>
      <c r="M4" s="93" t="s">
        <v>29</v>
      </c>
      <c r="N4" s="93" t="s">
        <v>31</v>
      </c>
      <c r="O4" s="93" t="s">
        <v>228</v>
      </c>
      <c r="P4" s="93" t="s">
        <v>35</v>
      </c>
      <c r="Q4" s="93" t="s">
        <v>36</v>
      </c>
      <c r="R4" s="93" t="s">
        <v>229</v>
      </c>
      <c r="S4" s="93" t="s">
        <v>40</v>
      </c>
      <c r="T4" s="93" t="s">
        <v>43</v>
      </c>
      <c r="U4" s="93" t="s">
        <v>230</v>
      </c>
      <c r="V4" s="93" t="s">
        <v>45</v>
      </c>
      <c r="W4" s="93" t="s">
        <v>46</v>
      </c>
      <c r="X4" s="93" t="s">
        <v>293</v>
      </c>
      <c r="Y4" s="90" t="s">
        <v>232</v>
      </c>
      <c r="Z4" s="90" t="s">
        <v>233</v>
      </c>
    </row>
    <row r="5" spans="2:28" ht="41.1" customHeight="1" x14ac:dyDescent="0.15">
      <c r="B5" s="156"/>
      <c r="C5" s="156"/>
      <c r="D5" s="89" t="s">
        <v>127</v>
      </c>
      <c r="E5" s="92" t="s">
        <v>234</v>
      </c>
      <c r="F5" s="92" t="s">
        <v>235</v>
      </c>
      <c r="G5" s="89" t="s">
        <v>127</v>
      </c>
      <c r="H5" s="92" t="s">
        <v>234</v>
      </c>
      <c r="I5" s="92" t="s">
        <v>235</v>
      </c>
      <c r="J5" s="89" t="s">
        <v>127</v>
      </c>
      <c r="K5" s="92" t="s">
        <v>234</v>
      </c>
      <c r="L5" s="92" t="s">
        <v>235</v>
      </c>
      <c r="M5" s="89" t="s">
        <v>127</v>
      </c>
      <c r="N5" s="92" t="s">
        <v>234</v>
      </c>
      <c r="O5" s="92" t="s">
        <v>235</v>
      </c>
      <c r="P5" s="89" t="s">
        <v>127</v>
      </c>
      <c r="Q5" s="92" t="s">
        <v>234</v>
      </c>
      <c r="R5" s="92" t="s">
        <v>235</v>
      </c>
      <c r="S5" s="89" t="s">
        <v>127</v>
      </c>
      <c r="T5" s="92" t="s">
        <v>234</v>
      </c>
      <c r="U5" s="92" t="s">
        <v>235</v>
      </c>
      <c r="V5" s="89" t="s">
        <v>127</v>
      </c>
      <c r="W5" s="92" t="s">
        <v>234</v>
      </c>
      <c r="X5" s="92" t="s">
        <v>235</v>
      </c>
      <c r="Y5" s="39" t="s">
        <v>13</v>
      </c>
      <c r="Z5" s="40" t="s">
        <v>253</v>
      </c>
    </row>
    <row r="6" spans="2:28" ht="11.1" customHeight="1" x14ac:dyDescent="0.15">
      <c r="B6" s="154">
        <v>15</v>
      </c>
      <c r="C6" s="75" t="s">
        <v>276</v>
      </c>
      <c r="D6" s="42">
        <v>51</v>
      </c>
      <c r="E6" s="155">
        <f>'Lote 15'!$H$149</f>
        <v>3157.6617857142901</v>
      </c>
      <c r="F6" s="91">
        <f>D6*E6</f>
        <v>161040.75107142879</v>
      </c>
      <c r="G6" s="42">
        <v>106</v>
      </c>
      <c r="H6" s="151">
        <f>'Lote 15'!$K$149</f>
        <v>4343.0550000000003</v>
      </c>
      <c r="I6" s="91">
        <f>G6*H6</f>
        <v>460363.83</v>
      </c>
      <c r="J6" s="42">
        <v>5</v>
      </c>
      <c r="K6" s="151">
        <f>'Lote 15'!$N$149</f>
        <v>3490.6735714285701</v>
      </c>
      <c r="L6" s="91">
        <f>J6*K6</f>
        <v>17453.36785714285</v>
      </c>
      <c r="M6" s="42">
        <v>0</v>
      </c>
      <c r="N6" s="151">
        <f>'Lote 15'!$Q$149</f>
        <v>4589.0341754802002</v>
      </c>
      <c r="O6" s="91">
        <f>M6*N6</f>
        <v>0</v>
      </c>
      <c r="P6" s="42">
        <v>8</v>
      </c>
      <c r="Q6" s="151">
        <f>'Lote 15'!$T$149</f>
        <v>10211.6857785714</v>
      </c>
      <c r="R6" s="91">
        <f>P6*Q6</f>
        <v>81693.486228571201</v>
      </c>
      <c r="S6" s="42">
        <v>0</v>
      </c>
      <c r="T6" s="151">
        <f>'Lote 15'!$W$149</f>
        <v>10932.2734183057</v>
      </c>
      <c r="U6" s="91">
        <f>S6*T6</f>
        <v>0</v>
      </c>
      <c r="V6" s="42">
        <v>30</v>
      </c>
      <c r="W6" s="151">
        <f>'Lote 15'!$Z$149</f>
        <v>5517.9896428571401</v>
      </c>
      <c r="X6" s="91">
        <f>V6*W6</f>
        <v>165539.68928571421</v>
      </c>
      <c r="Y6" s="43">
        <f>(X6+U6+R6+O6+L6+I6+F6)</f>
        <v>886091.12444285711</v>
      </c>
      <c r="Z6" s="43">
        <f>Y6*28</f>
        <v>24810551.4844</v>
      </c>
    </row>
    <row r="7" spans="2:28" ht="11.1" customHeight="1" x14ac:dyDescent="0.15">
      <c r="B7" s="154"/>
      <c r="C7" s="75" t="s">
        <v>277</v>
      </c>
      <c r="D7" s="42">
        <v>3</v>
      </c>
      <c r="E7" s="155"/>
      <c r="F7" s="91">
        <f>D7*E6</f>
        <v>9472.9853571428703</v>
      </c>
      <c r="G7" s="42">
        <v>29</v>
      </c>
      <c r="H7" s="152"/>
      <c r="I7" s="91">
        <f>G7*H6</f>
        <v>125948.595</v>
      </c>
      <c r="J7" s="42">
        <v>2</v>
      </c>
      <c r="K7" s="152"/>
      <c r="L7" s="91">
        <f>J7*K6</f>
        <v>6981.3471428571402</v>
      </c>
      <c r="M7" s="42">
        <v>0</v>
      </c>
      <c r="N7" s="152"/>
      <c r="O7" s="91">
        <f>M7*N6</f>
        <v>0</v>
      </c>
      <c r="P7" s="42">
        <v>0</v>
      </c>
      <c r="Q7" s="152"/>
      <c r="R7" s="91">
        <f>P7*Q6</f>
        <v>0</v>
      </c>
      <c r="S7" s="42">
        <v>0</v>
      </c>
      <c r="T7" s="152"/>
      <c r="U7" s="91">
        <f>S7*T6</f>
        <v>0</v>
      </c>
      <c r="V7" s="42">
        <v>0</v>
      </c>
      <c r="W7" s="152"/>
      <c r="X7" s="91">
        <f>V7*W6</f>
        <v>0</v>
      </c>
      <c r="Y7" s="43">
        <f>(X7+U7+R7+O7+L7+I7+F7)</f>
        <v>142402.92750000002</v>
      </c>
      <c r="Z7" s="43">
        <f>Y7*28</f>
        <v>3987281.9700000007</v>
      </c>
    </row>
    <row r="8" spans="2:28" ht="11.1" customHeight="1" x14ac:dyDescent="0.15">
      <c r="B8" s="154"/>
      <c r="C8" s="41" t="s">
        <v>11</v>
      </c>
      <c r="D8" s="44">
        <f>SUM(D6:D7)</f>
        <v>54</v>
      </c>
      <c r="E8" s="45">
        <f>E6*28</f>
        <v>88414.530000000115</v>
      </c>
      <c r="F8" s="45">
        <f>SUM(F6:F7)</f>
        <v>170513.73642857166</v>
      </c>
      <c r="G8" s="44">
        <f t="shared" ref="G8:Z8" si="0">SUM(G6:G7)</f>
        <v>135</v>
      </c>
      <c r="H8" s="45">
        <f>H6*28</f>
        <v>121605.54000000001</v>
      </c>
      <c r="I8" s="45">
        <f>SUM(I6:I7)</f>
        <v>586312.42500000005</v>
      </c>
      <c r="J8" s="44">
        <f t="shared" si="0"/>
        <v>7</v>
      </c>
      <c r="K8" s="45">
        <f>K6*28</f>
        <v>97738.859999999957</v>
      </c>
      <c r="L8" s="45">
        <f>SUM(L6:L7)</f>
        <v>24434.714999999989</v>
      </c>
      <c r="M8" s="44">
        <f t="shared" si="0"/>
        <v>0</v>
      </c>
      <c r="N8" s="45">
        <f>N6*28</f>
        <v>128492.95691344561</v>
      </c>
      <c r="O8" s="45">
        <f>SUM(O6:O7)</f>
        <v>0</v>
      </c>
      <c r="P8" s="44">
        <f t="shared" si="0"/>
        <v>8</v>
      </c>
      <c r="Q8" s="45">
        <f>Q6*28</f>
        <v>285927.20179999922</v>
      </c>
      <c r="R8" s="45">
        <f>SUM(R6:R7)</f>
        <v>81693.486228571201</v>
      </c>
      <c r="S8" s="44">
        <f t="shared" si="0"/>
        <v>0</v>
      </c>
      <c r="T8" s="45">
        <f>T6*28</f>
        <v>306103.65571255959</v>
      </c>
      <c r="U8" s="45">
        <f>SUM(U6:U7)</f>
        <v>0</v>
      </c>
      <c r="V8" s="44">
        <f t="shared" si="0"/>
        <v>30</v>
      </c>
      <c r="W8" s="45">
        <f>W6*28</f>
        <v>154503.70999999993</v>
      </c>
      <c r="X8" s="45">
        <f>SUM(X6:X7)</f>
        <v>165539.68928571421</v>
      </c>
      <c r="Y8" s="45">
        <f t="shared" si="0"/>
        <v>1028494.0519428571</v>
      </c>
      <c r="Z8" s="45">
        <f t="shared" si="0"/>
        <v>28797833.454400003</v>
      </c>
      <c r="AA8" s="46"/>
      <c r="AB8" s="46"/>
    </row>
    <row r="9" spans="2:28" ht="11.1" customHeight="1" x14ac:dyDescent="0.15">
      <c r="B9" s="150" t="s">
        <v>115</v>
      </c>
      <c r="C9" s="150"/>
      <c r="D9" s="44">
        <f t="shared" ref="D9:X9" si="1">D8</f>
        <v>54</v>
      </c>
      <c r="E9" s="45">
        <f t="shared" si="1"/>
        <v>88414.530000000115</v>
      </c>
      <c r="F9" s="45">
        <f t="shared" si="1"/>
        <v>170513.73642857166</v>
      </c>
      <c r="G9" s="44">
        <f t="shared" si="1"/>
        <v>135</v>
      </c>
      <c r="H9" s="45">
        <f t="shared" si="1"/>
        <v>121605.54000000001</v>
      </c>
      <c r="I9" s="45">
        <f t="shared" si="1"/>
        <v>586312.42500000005</v>
      </c>
      <c r="J9" s="44">
        <f t="shared" si="1"/>
        <v>7</v>
      </c>
      <c r="K9" s="45">
        <f t="shared" si="1"/>
        <v>97738.859999999957</v>
      </c>
      <c r="L9" s="45">
        <f t="shared" si="1"/>
        <v>24434.714999999989</v>
      </c>
      <c r="M9" s="44">
        <f t="shared" si="1"/>
        <v>0</v>
      </c>
      <c r="N9" s="45">
        <f t="shared" si="1"/>
        <v>128492.95691344561</v>
      </c>
      <c r="O9" s="45">
        <f t="shared" si="1"/>
        <v>0</v>
      </c>
      <c r="P9" s="44">
        <f t="shared" si="1"/>
        <v>8</v>
      </c>
      <c r="Q9" s="45">
        <f t="shared" si="1"/>
        <v>285927.20179999922</v>
      </c>
      <c r="R9" s="45">
        <f t="shared" si="1"/>
        <v>81693.486228571201</v>
      </c>
      <c r="S9" s="44">
        <f t="shared" si="1"/>
        <v>0</v>
      </c>
      <c r="T9" s="45">
        <f t="shared" si="1"/>
        <v>306103.65571255959</v>
      </c>
      <c r="U9" s="45">
        <f t="shared" si="1"/>
        <v>0</v>
      </c>
      <c r="V9" s="44">
        <f t="shared" si="1"/>
        <v>30</v>
      </c>
      <c r="W9" s="45">
        <f t="shared" si="1"/>
        <v>154503.70999999993</v>
      </c>
      <c r="X9" s="45">
        <f t="shared" si="1"/>
        <v>165539.68928571421</v>
      </c>
      <c r="Y9" s="45">
        <f t="shared" ref="Y9:Z9" si="2">Y8</f>
        <v>1028494.0519428571</v>
      </c>
      <c r="Z9" s="45">
        <f t="shared" si="2"/>
        <v>28797833.454400003</v>
      </c>
    </row>
    <row r="11" spans="2:28" x14ac:dyDescent="0.15"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</row>
    <row r="12" spans="2:28" x14ac:dyDescent="0.15">
      <c r="F12" s="62"/>
      <c r="Q12" s="48"/>
      <c r="T12" s="48"/>
      <c r="W12" s="48"/>
      <c r="Z12" s="48"/>
    </row>
    <row r="13" spans="2:28" x14ac:dyDescent="0.15">
      <c r="E13" s="86"/>
      <c r="H13" s="86"/>
      <c r="K13" s="86"/>
      <c r="N13" s="86"/>
      <c r="Q13" s="86"/>
      <c r="T13" s="86"/>
      <c r="W13" s="86"/>
      <c r="X13" s="46"/>
      <c r="Z13" s="86"/>
    </row>
    <row r="14" spans="2:28" x14ac:dyDescent="0.15">
      <c r="E14" s="63"/>
      <c r="X14" s="46"/>
    </row>
  </sheetData>
  <autoFilter ref="B5:AB9" xr:uid="{F2922CA7-4416-43B3-9034-CA4CD970D974}"/>
  <mergeCells count="27">
    <mergeCell ref="D2:F2"/>
    <mergeCell ref="G2:I2"/>
    <mergeCell ref="J2:L2"/>
    <mergeCell ref="M2:O2"/>
    <mergeCell ref="P2:R2"/>
    <mergeCell ref="Y3:Z3"/>
    <mergeCell ref="B6:B8"/>
    <mergeCell ref="E6:E7"/>
    <mergeCell ref="H6:H7"/>
    <mergeCell ref="K6:K7"/>
    <mergeCell ref="N6:N7"/>
    <mergeCell ref="B2:B5"/>
    <mergeCell ref="C2:C5"/>
    <mergeCell ref="Y2:Z2"/>
    <mergeCell ref="D3:F3"/>
    <mergeCell ref="T6:T7"/>
    <mergeCell ref="W6:W7"/>
    <mergeCell ref="S3:U3"/>
    <mergeCell ref="V3:X3"/>
    <mergeCell ref="S2:U2"/>
    <mergeCell ref="V2:X2"/>
    <mergeCell ref="B9:C9"/>
    <mergeCell ref="G3:I3"/>
    <mergeCell ref="J3:L3"/>
    <mergeCell ref="M3:O3"/>
    <mergeCell ref="P3:R3"/>
    <mergeCell ref="Q6:Q7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Lote 15</vt:lpstr>
      <vt:lpstr>Total Lote 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Fábio Vieira Ribeiro</dc:creator>
  <cp:lastModifiedBy>VITOR KAISER</cp:lastModifiedBy>
  <dcterms:created xsi:type="dcterms:W3CDTF">2020-10-22T15:08:02Z</dcterms:created>
  <dcterms:modified xsi:type="dcterms:W3CDTF">2021-06-15T20:38:45Z</dcterms:modified>
</cp:coreProperties>
</file>